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gakushitaiyoka\異動補導係\2024年度\18　適格認定（家計）\07_ホームページ更新\"/>
    </mc:Choice>
  </mc:AlternateContent>
  <workbookProtection workbookPassword="FE18" lockStructure="1"/>
  <bookViews>
    <workbookView xWindow="0" yWindow="0" windowWidth="15360" windowHeight="6615"/>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Print_Area" localSheetId="0">入力シート!$A$1:$H$41</definedName>
    <definedName name="_xlnm.Print_Area" localSheetId="1">入力例!$A$1:$V$41</definedName>
  </definedNames>
  <calcPr calcId="162913"/>
</workbook>
</file>

<file path=xl/calcChain.xml><?xml version="1.0" encoding="utf-8"?>
<calcChain xmlns="http://schemas.openxmlformats.org/spreadsheetml/2006/main">
  <c r="G1" i="6" l="1"/>
  <c r="V1" i="6" s="1"/>
  <c r="B35" i="5" l="1"/>
  <c r="B37" i="5" s="1"/>
  <c r="B4" i="5" l="1"/>
  <c r="C40" i="2" l="1"/>
  <c r="C38" i="2"/>
  <c r="C39" i="2"/>
  <c r="B6" i="5"/>
  <c r="B5" i="5"/>
  <c r="F10" i="2" l="1"/>
  <c r="B30" i="5" l="1"/>
  <c r="B3" i="5" l="1"/>
  <c r="B38" i="5" s="1"/>
  <c r="F13" i="2" l="1"/>
  <c r="F9" i="2"/>
  <c r="F8" i="2"/>
  <c r="B27" i="5"/>
  <c r="D18" i="5"/>
  <c r="C18" i="5"/>
  <c r="B18" i="5"/>
  <c r="G1" i="2" l="1"/>
  <c r="D20" i="2" l="1"/>
  <c r="B7" i="5" l="1"/>
  <c r="D17" i="5"/>
  <c r="C17" i="5"/>
  <c r="B17" i="5"/>
  <c r="D14" i="5"/>
  <c r="C14" i="5"/>
  <c r="B14" i="5"/>
  <c r="D11" i="5"/>
  <c r="C11" i="5"/>
  <c r="B11" i="5"/>
  <c r="D10" i="5"/>
  <c r="C10" i="5"/>
  <c r="B10" i="5"/>
  <c r="B2" i="5"/>
  <c r="F12" i="2" s="1"/>
  <c r="B22" i="5" l="1"/>
  <c r="B23" i="5"/>
  <c r="D23" i="5"/>
  <c r="D22" i="5"/>
  <c r="C23" i="5"/>
  <c r="C22" i="5"/>
  <c r="B36" i="5"/>
  <c r="F11" i="2"/>
  <c r="B8" i="5"/>
  <c r="B16" i="2" s="1"/>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C33" i="5" l="1"/>
  <c r="B39" i="5" s="1"/>
  <c r="E39" i="2" s="1"/>
  <c r="F38" i="2"/>
  <c r="B44" i="5"/>
  <c r="B45" i="5" s="1"/>
  <c r="E38" i="2"/>
  <c r="B40" i="5" l="1"/>
  <c r="B41" i="5"/>
  <c r="B42" i="5"/>
  <c r="B43" i="5" l="1"/>
  <c r="E40" i="2" s="1"/>
</calcChain>
</file>

<file path=xl/sharedStrings.xml><?xml version="1.0" encoding="utf-8"?>
<sst xmlns="http://schemas.openxmlformats.org/spreadsheetml/2006/main" count="301" uniqueCount="187">
  <si>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</si>
  <si>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</si>
  <si>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</si>
  <si>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</si>
  <si>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</si>
  <si>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</si>
  <si>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</si>
  <si>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</si>
  <si>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</si>
  <si>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</si>
  <si>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</si>
  <si>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</si>
  <si>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</si>
  <si>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</si>
  <si>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</si>
  <si>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</si>
  <si>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</si>
  <si>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</si>
  <si>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</si>
  <si>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</si>
  <si>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</si>
  <si>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</si>
  <si>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</si>
  <si>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</si>
  <si>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</si>
  <si>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</si>
  <si>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</si>
  <si>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</si>
  <si>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</si>
  <si>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</si>
  <si>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</si>
  <si>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</si>
  <si>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</si>
  <si>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</si>
  <si>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</si>
  <si>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</si>
  <si>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</si>
  <si>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</si>
  <si>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</si>
  <si>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</si>
  <si>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</si>
  <si>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</si>
  <si>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</si>
  <si>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</si>
  <si>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</si>
  <si>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</si>
  <si>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</si>
  <si>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</si>
  <si>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</si>
  <si>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</si>
  <si>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</si>
  <si>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</si>
  <si>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</si>
  <si>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</si>
  <si>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</si>
  <si>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</si>
  <si>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</si>
  <si>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</si>
  <si>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</si>
  <si>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</si>
  <si>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</si>
  <si>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</si>
  <si>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</si>
  <si>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</si>
  <si>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</si>
  <si>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</si>
  <si>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</si>
  <si>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</si>
  <si>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</si>
  <si>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</si>
  <si>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</si>
  <si>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</si>
  <si>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寡婦一般</t>
    <rPh sb="0" eb="2">
      <t>カフ</t>
    </rPh>
    <rPh sb="2" eb="4">
      <t>イッパン</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</si>
  <si>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</si>
  <si>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</si>
  <si>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</si>
  <si>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</si>
  <si>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</si>
  <si>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</si>
  <si>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</si>
  <si>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</si>
  <si>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</si>
  <si>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</si>
  <si>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</si>
  <si>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</si>
  <si>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</si>
  <si>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</si>
  <si>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</si>
  <si>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</si>
  <si>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</si>
  <si>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</si>
  <si>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</si>
  <si>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</si>
  <si>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</si>
  <si>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</si>
  <si>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</si>
  <si>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</si>
  <si>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</si>
  <si>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</si>
  <si>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</si>
  <si>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</si>
  <si>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</si>
  <si>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</si>
  <si>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</si>
  <si>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</si>
  <si>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</si>
  <si>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</si>
  <si>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</si>
  <si>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</si>
  <si>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</si>
  <si>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</si>
  <si>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</si>
  <si>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</si>
  <si>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</si>
  <si>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</si>
  <si>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</si>
  <si>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</si>
  <si>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</si>
  <si>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</si>
  <si>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</si>
  <si>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</si>
  <si>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</si>
  <si>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</si>
  <si>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</si>
  <si>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</si>
  <si>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</si>
  <si>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</si>
  <si>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</si>
  <si>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</si>
  <si>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</si>
  <si>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</si>
  <si>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</si>
  <si>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</si>
  <si>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</si>
  <si>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</si>
  <si>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支給額算定基準額・貸与額算定基準額判定ツール</t>
    <rPh sb="0" eb="8">
      <t>シキュウガクサンテイキジュンガク</t>
    </rPh>
    <rPh sb="9" eb="11">
      <t>タイヨ</t>
    </rPh>
    <rPh sb="11" eb="12">
      <t>ガク</t>
    </rPh>
    <rPh sb="12" eb="14">
      <t>サンテイ</t>
    </rPh>
    <rPh sb="14" eb="16">
      <t>キジュン</t>
    </rPh>
    <rPh sb="16" eb="17">
      <t>ガク</t>
    </rPh>
    <rPh sb="17" eb="19">
      <t>ハンテイ</t>
    </rPh>
    <phoneticPr fontId="1"/>
  </si>
  <si>
    <t>給付奨学金</t>
    <rPh sb="0" eb="5">
      <t>キュウフショウガクキン</t>
    </rPh>
    <phoneticPr fontId="1"/>
  </si>
  <si>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</si>
  <si>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</si>
  <si>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</si>
  <si>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</si>
  <si>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</si>
  <si>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</si>
  <si>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</si>
  <si>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</si>
  <si>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</si>
  <si>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</si>
  <si>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</si>
  <si>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</si>
  <si>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</si>
  <si>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</si>
  <si>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</si>
  <si>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</si>
  <si>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</si>
  <si>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</si>
  <si>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</si>
  <si>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</si>
  <si>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</si>
  <si>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</si>
  <si>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</si>
  <si>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</si>
  <si>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</si>
  <si>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r>
      <t>このツールは、課税証明書（所得証明書）をお持ちで、正確に支給額算定基準額や</t>
    </r>
    <r>
      <rPr>
        <sz val="11"/>
        <color theme="1"/>
        <rFont val="ＭＳ Ｐゴシック"/>
        <family val="3"/>
        <charset val="128"/>
        <scheme val="minor"/>
      </rPr>
      <t>貸与額算定基準額を</t>
    </r>
    <rPh sb="7" eb="9">
      <t>カゼイ</t>
    </rPh>
    <rPh sb="9" eb="12">
      <t>ショウメイショ</t>
    </rPh>
    <rPh sb="13" eb="15">
      <t>ショトク</t>
    </rPh>
    <rPh sb="15" eb="18">
      <t>ショウメイショ</t>
    </rPh>
    <rPh sb="21" eb="22">
      <t>モ</t>
    </rPh>
    <rPh sb="25" eb="27">
      <t>セイカク</t>
    </rPh>
    <rPh sb="28" eb="36">
      <t>シキュウガクサンテイキジュンガク</t>
    </rPh>
    <rPh sb="37" eb="39">
      <t>タイヨ</t>
    </rPh>
    <rPh sb="39" eb="40">
      <t>ガク</t>
    </rPh>
    <rPh sb="40" eb="42">
      <t>サンテイ</t>
    </rPh>
    <rPh sb="42" eb="44">
      <t>キジュン</t>
    </rPh>
    <rPh sb="44" eb="45">
      <t>ガク</t>
    </rPh>
    <phoneticPr fontId="1"/>
  </si>
  <si>
    <t>把握されたい方のために用意されたものです。入力にあたっては、別シート「入力例」もご覧ください。</t>
    <rPh sb="21" eb="23">
      <t>ニュウリョク</t>
    </rPh>
    <rPh sb="30" eb="31">
      <t>ベツ</t>
    </rPh>
    <rPh sb="35" eb="37">
      <t>ニュウリョク</t>
    </rPh>
    <rPh sb="37" eb="38">
      <t>レイ</t>
    </rPh>
    <rPh sb="41" eb="42">
      <t>ラン</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</si>
  <si>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</si>
  <si>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</si>
  <si>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</si>
  <si>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</si>
  <si>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</si>
  <si>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</si>
  <si>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支給額算定基準額・貸与額算定基準額判定ツール</t>
  </si>
  <si>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</si>
  <si>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</si>
  <si>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</si>
  <si>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</si>
  <si>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</si>
  <si>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</si>
  <si>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</si>
  <si>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</si>
  <si>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</si>
  <si>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</si>
  <si>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</si>
  <si>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r>
      <t>ツール入力項目等との対応関係を赤丸</t>
    </r>
    <r>
      <rPr>
        <b/>
        <sz val="11"/>
        <color rgb="FFFF0000"/>
        <rFont val="ＭＳ Ｐゴシック"/>
        <family val="3"/>
        <charset val="128"/>
        <scheme val="minor"/>
      </rPr>
      <t>○</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アカマル</t>
    </rPh>
    <rPh sb="18" eb="19">
      <t>ナイ</t>
    </rPh>
    <rPh sb="20" eb="22">
      <t>スウジ</t>
    </rPh>
    <rPh sb="23" eb="25">
      <t>セツメイ</t>
    </rPh>
    <phoneticPr fontId="1"/>
  </si>
  <si>
    <r>
      <t>・本ツールに正確に情報を入力するには、申込者の生計維持者それぞれの、市町村民税の課税証明書（自治体によっては「所得証明書」。以下同様。）又はマイナポータルにログインしていただき取得していただいた</t>
    </r>
    <r>
      <rPr>
        <sz val="11"/>
        <color theme="1"/>
        <rFont val="ＭＳ Ｐゴシック"/>
        <family val="3"/>
        <charset val="128"/>
        <scheme val="minor"/>
      </rPr>
      <t>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5">
      <t>セイケイ</t>
    </rPh>
    <rPh sb="25" eb="27">
      <t>イジ</t>
    </rPh>
    <rPh sb="27" eb="28">
      <t>シャ</t>
    </rPh>
    <rPh sb="34" eb="39">
      <t>シチョウソンミンゼイ</t>
    </rPh>
    <rPh sb="40" eb="42">
      <t>カゼイ</t>
    </rPh>
    <rPh sb="42" eb="45">
      <t>ショウメイショ</t>
    </rPh>
    <rPh sb="62" eb="64">
      <t>イカ</t>
    </rPh>
    <rPh sb="64" eb="66">
      <t>ドウヨウ</t>
    </rPh>
    <rPh sb="68" eb="69">
      <t>マタ</t>
    </rPh>
    <rPh sb="88" eb="90">
      <t>シュトク</t>
    </rPh>
    <rPh sb="102" eb="104">
      <t>ジョウホウ</t>
    </rPh>
    <rPh sb="105" eb="107">
      <t>ヒツヨウ</t>
    </rPh>
    <rPh sb="115" eb="117">
      <t>カゼイ</t>
    </rPh>
    <rPh sb="117" eb="120">
      <t>ショウメイショ</t>
    </rPh>
    <rPh sb="121" eb="122">
      <t>モチ</t>
    </rPh>
    <rPh sb="124" eb="126">
      <t>ニュウリョク</t>
    </rPh>
    <rPh sb="128" eb="130">
      <t>タイオウ</t>
    </rPh>
    <rPh sb="130" eb="132">
      <t>カンケイ</t>
    </rPh>
    <rPh sb="133" eb="135">
      <t>セツメイ</t>
    </rPh>
    <rPh sb="141" eb="143">
      <t>カキ</t>
    </rPh>
    <rPh sb="144" eb="146">
      <t>カゼイ</t>
    </rPh>
    <rPh sb="146" eb="149">
      <t>ショウメイショ</t>
    </rPh>
    <rPh sb="150" eb="152">
      <t>イチレイ</t>
    </rPh>
    <rPh sb="156" eb="158">
      <t>トクテイ</t>
    </rPh>
    <rPh sb="159" eb="162">
      <t>シチョウソン</t>
    </rPh>
    <rPh sb="173" eb="175">
      <t>カゼイ</t>
    </rPh>
    <rPh sb="175" eb="178">
      <t>ショウメイショ</t>
    </rPh>
    <rPh sb="179" eb="181">
      <t>ショシキ</t>
    </rPh>
    <rPh sb="182" eb="185">
      <t>ジチタイ</t>
    </rPh>
    <rPh sb="189" eb="190">
      <t>オオ</t>
    </rPh>
    <rPh sb="192" eb="193">
      <t>コト</t>
    </rPh>
    <rPh sb="284" eb="286">
      <t>タイヨ</t>
    </rPh>
    <rPh sb="303" eb="304">
      <t>ホン</t>
    </rPh>
    <rPh sb="309" eb="311">
      <t>ニュウリョク</t>
    </rPh>
    <rPh sb="316" eb="317">
      <t>エ</t>
    </rPh>
    <rPh sb="320" eb="322">
      <t>ケッカ</t>
    </rPh>
    <rPh sb="323" eb="325">
      <t>ジッサイ</t>
    </rPh>
    <rPh sb="326" eb="329">
      <t>ショウガクキン</t>
    </rPh>
    <rPh sb="330" eb="332">
      <t>センコウ</t>
    </rPh>
    <rPh sb="332" eb="334">
      <t>ケッカ</t>
    </rPh>
    <rPh sb="335" eb="337">
      <t>ソウイ</t>
    </rPh>
    <rPh sb="339" eb="341">
      <t>バアイ</t>
    </rPh>
    <rPh sb="347" eb="348">
      <t>ホン</t>
    </rPh>
    <rPh sb="348" eb="350">
      <t>キコウ</t>
    </rPh>
    <rPh sb="353" eb="355">
      <t>セキニン</t>
    </rPh>
    <rPh sb="356" eb="357">
      <t>オ</t>
    </rPh>
    <rPh sb="383" eb="384">
      <t>ホン</t>
    </rPh>
    <rPh sb="384" eb="386">
      <t>キコウ</t>
    </rPh>
    <rPh sb="387" eb="388">
      <t>ベツ</t>
    </rPh>
    <rPh sb="389" eb="391">
      <t>コウヒョウ</t>
    </rPh>
    <rPh sb="396" eb="404">
      <t>シキュウガクサンテイキジュンガク</t>
    </rPh>
    <rPh sb="405" eb="407">
      <t>タイヨ</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</si>
  <si>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</si>
  <si>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r>
      <t>【各項目の説明】
１．(1)奨学金に申請した年度を入力します。給付奨学金の経済基準の適格認定に関しては、適格認定を行う年度になります。
２．(2)申込の区分を選択します。高校等で申し込む場合は「予約採用」、進学先で申し込む場合は「在学採用」です。「在学採用」や給付奨学金の「経済基準の適格認定」を選択した場合、(6)で学校が国・公立か私立かも選択します。
３．(3)「第一種奨学金」「第二種奨学金」「第一種と第二種の両方」（以上は貸与奨学金です。）「給付奨学金」の中から、申請した種類を選びます。このとき、</t>
    </r>
    <r>
      <rPr>
        <sz val="11"/>
        <rFont val="ＭＳ Ｐゴシック"/>
        <family val="3"/>
        <charset val="128"/>
        <scheme val="minor"/>
      </rPr>
      <t>（2）が「大学等予約採用」以外で貸与奨学金を選択していて(6)が「私立」の場合、(7)で通学形態も選択します。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※本ツールでは、緊急・応急採用、家計急変採用、大学院や海外留学を対象とした奨学金には対応していません。
４．(4)生計維持者の人数を選択します。父母がいる場合は父母が生計維持者になりますので、２名です。１名を選んだ場合、(9)でその人の続柄を選択します。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既に申請していた場合には、申請に用いた人数を入力します。また、給付奨学金・独立生計以外の場合には、(10)で申込者本人が扶養されていたかも選びます。
６．この例では生計維持者１が１人の場合を想定して(12)が非表示になっていますが、生計維持者が２人の場合、(12)が表示されますので、以下(17)まで同様に入力してください。給付奨学金の場合、さらに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10．課税証明書に記載されている方がその税の年度の初日の属する年の１月１日に生活扶助を受給している場合、その旨を選択します。
11．課税証明書の「繰越控除」を入力します。証明書上に存在しない場合、「合計所得金額」から「総所得金額等」を引いた額を入力します。
12．課税証明書で「配偶者控除」に該当している場合、その旨を選択します。（「配偶者特別控除」は関係しません。）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ここに計算過程及び計算結果が表示されます。貸与奨学金の場合は貸与額算定基準額及び希望する奨学金の家計基準の適格有無が、給付奨学金の場合は該当する支援区分が表示されます。</t>
    </r>
    <rPh sb="258" eb="265">
      <t>ダイガクトウヨヤクサイヨウ</t>
    </rPh>
    <rPh sb="266" eb="268">
      <t>イガイ</t>
    </rPh>
    <rPh sb="316" eb="318">
      <t>センタク</t>
    </rPh>
    <rPh sb="319" eb="320">
      <t>カカ</t>
    </rPh>
    <rPh sb="679" eb="681">
      <t>イガイ</t>
    </rPh>
    <rPh sb="1398" eb="1400">
      <t>キュウフ</t>
    </rPh>
    <rPh sb="1400" eb="1403">
      <t>ショウガクキン</t>
    </rPh>
    <rPh sb="1404" eb="1406">
      <t>バアイ</t>
    </rPh>
    <rPh sb="1524" eb="1526">
      <t>イジョウ</t>
    </rPh>
    <rPh sb="1551" eb="1553">
      <t>ケイサン</t>
    </rPh>
    <rPh sb="1553" eb="1555">
      <t>カテイ</t>
    </rPh>
    <rPh sb="1555" eb="1556">
      <t>オヨ</t>
    </rPh>
    <rPh sb="1557" eb="1559">
      <t>ケイサン</t>
    </rPh>
    <rPh sb="1569" eb="1571">
      <t>タイヨ</t>
    </rPh>
    <rPh sb="1571" eb="1574">
      <t>ショウガクキン</t>
    </rPh>
    <rPh sb="1575" eb="1577">
      <t>バアイ</t>
    </rPh>
    <rPh sb="1578" eb="1586">
      <t>タイヨガクサンテイキジュンガク</t>
    </rPh>
    <rPh sb="1586" eb="1587">
      <t>オヨ</t>
    </rPh>
    <rPh sb="1588" eb="1590">
      <t>キボウ</t>
    </rPh>
    <rPh sb="1592" eb="1595">
      <t>ショウガクキン</t>
    </rPh>
    <rPh sb="1596" eb="1598">
      <t>カケイ</t>
    </rPh>
    <rPh sb="1598" eb="1600">
      <t>キジュン</t>
    </rPh>
    <rPh sb="1601" eb="1603">
      <t>テキカク</t>
    </rPh>
    <rPh sb="1603" eb="1605">
      <t>ウム</t>
    </rPh>
    <rPh sb="1607" eb="1609">
      <t>キュウフ</t>
    </rPh>
    <rPh sb="1609" eb="1612">
      <t>ショウガクキン</t>
    </rPh>
    <rPh sb="1613" eb="1615">
      <t>バアイ</t>
    </rPh>
    <rPh sb="1616" eb="1618">
      <t>ガイトウ</t>
    </rPh>
    <rPh sb="1620" eb="1622">
      <t>シエン</t>
    </rPh>
    <rPh sb="1622" eb="1624">
      <t>クブン</t>
    </rPh>
    <rPh sb="1625" eb="1627">
      <t>ヒョウジ</t>
    </rPh>
    <phoneticPr fontId="1"/>
  </si>
  <si>
    <t>入力例の記載を修正</t>
    <rPh sb="0" eb="2">
      <t>ニュウリョク</t>
    </rPh>
    <rPh sb="2" eb="3">
      <t>レイ</t>
    </rPh>
    <rPh sb="4" eb="6">
      <t>キサイ</t>
    </rPh>
    <rPh sb="7" eb="9">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</si>
</sst>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Red]0"/>
    <numFmt numFmtId="178" formatCode="0_ "/>
    <numFmt numFmtId="179" formatCode="yyyy&quot;.&quot;mm"/>
    <numFmt numFmtId="180" formatCode="[DBNum3]0"/>
  </numFmts>
  <fonts count="18"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color rgb="FFFF0000"/>
      <name val="ＭＳ Ｐゴシック"/>
      <family val="2"/>
      <scheme val="minor"/>
    </font>
    <font>
      <sz val="11"/>
      <name val="ＭＳ Ｐゴシック"/>
      <family val="3"/>
      <charset val="128"/>
      <scheme val="minor"/>
    </font>
    <font>
      <b/>
      <sz val="11"/>
      <color rgb="FFFF0000"/>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69">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176" fontId="2" fillId="2" borderId="7" xfId="0" applyNumberFormat="1" applyFont="1" applyFill="1" applyBorder="1" applyAlignment="1">
      <alignment vertical="center" wrapText="1"/>
    </xf>
    <xf numFmtId="0" fontId="0" fillId="2" borderId="8" xfId="0" applyFill="1" applyBorder="1" applyAlignment="1">
      <alignment horizontal="center" vertical="center"/>
    </xf>
    <xf numFmtId="176" fontId="2" fillId="2" borderId="14" xfId="0" applyNumberFormat="1" applyFont="1" applyFill="1" applyBorder="1" applyAlignment="1">
      <alignment vertical="center" wrapText="1"/>
    </xf>
    <xf numFmtId="176" fontId="2" fillId="2" borderId="12" xfId="0" applyNumberFormat="1" applyFont="1" applyFill="1" applyBorder="1" applyAlignment="1">
      <alignment vertical="center" wrapText="1"/>
    </xf>
    <xf numFmtId="0" fontId="0" fillId="2" borderId="15" xfId="0" applyFill="1" applyBorder="1" applyAlignment="1">
      <alignment vertical="center"/>
    </xf>
    <xf numFmtId="176" fontId="0" fillId="2" borderId="14" xfId="0" applyNumberFormat="1" applyFont="1" applyFill="1" applyBorder="1" applyAlignment="1">
      <alignment horizontal="center" vertical="center" wrapText="1"/>
    </xf>
    <xf numFmtId="0" fontId="0" fillId="0" borderId="18" xfId="0" applyBorder="1"/>
    <xf numFmtId="176" fontId="0" fillId="2" borderId="28" xfId="0" applyNumberFormat="1" applyFont="1" applyFill="1" applyBorder="1" applyAlignment="1">
      <alignment horizontal="center" vertical="center" wrapText="1"/>
    </xf>
    <xf numFmtId="0" fontId="0" fillId="2" borderId="27" xfId="0" applyFill="1" applyBorder="1" applyAlignment="1">
      <alignment horizontal="center" vertical="center" wrapText="1"/>
    </xf>
    <xf numFmtId="0" fontId="0" fillId="0" borderId="0" xfId="0" applyAlignment="1">
      <alignment horizontal="right"/>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0" xfId="0" applyAlignment="1">
      <alignment vertical="center"/>
    </xf>
    <xf numFmtId="0" fontId="0" fillId="4" borderId="1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2" xfId="0" applyNumberFormat="1" applyFill="1" applyBorder="1" applyAlignment="1">
      <alignment horizontal="center" vertical="center" wrapText="1"/>
    </xf>
    <xf numFmtId="177" fontId="0" fillId="3" borderId="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2" xfId="0" applyNumberFormat="1" applyFont="1" applyFill="1" applyBorder="1" applyAlignment="1">
      <alignment vertical="center" wrapText="1"/>
    </xf>
    <xf numFmtId="176" fontId="2" fillId="3" borderId="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4"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14" fontId="0" fillId="3" borderId="7"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Fill="1" applyBorder="1" applyAlignment="1">
      <alignment horizontal="left"/>
    </xf>
    <xf numFmtId="176" fontId="2" fillId="2" borderId="31" xfId="0" applyNumberFormat="1" applyFont="1" applyFill="1" applyBorder="1" applyAlignment="1">
      <alignment vertical="center" wrapText="1"/>
    </xf>
    <xf numFmtId="0" fontId="0" fillId="0" borderId="29" xfId="0" applyFill="1" applyBorder="1" applyAlignment="1">
      <alignment horizontal="center" vertical="center"/>
    </xf>
    <xf numFmtId="0" fontId="6" fillId="0" borderId="0" xfId="0" applyFont="1" applyAlignment="1">
      <alignment horizontal="center" vertical="center"/>
    </xf>
    <xf numFmtId="0" fontId="0" fillId="2" borderId="15" xfId="0" applyFill="1" applyBorder="1" applyAlignment="1">
      <alignment vertical="center" shrinkToFit="1"/>
    </xf>
    <xf numFmtId="179" fontId="0" fillId="0" borderId="0" xfId="0" applyNumberFormat="1" applyAlignment="1">
      <alignment horizontal="right"/>
    </xf>
    <xf numFmtId="0" fontId="0" fillId="0" borderId="0" xfId="0" applyNumberFormat="1"/>
    <xf numFmtId="176" fontId="2" fillId="3" borderId="12" xfId="0" applyNumberFormat="1" applyFont="1" applyFill="1" applyBorder="1" applyAlignment="1" applyProtection="1">
      <alignment vertical="center" wrapText="1"/>
    </xf>
    <xf numFmtId="0" fontId="0" fillId="0" borderId="0" xfId="0" applyFill="1"/>
    <xf numFmtId="0" fontId="7" fillId="0" borderId="0" xfId="0" applyFont="1"/>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0" borderId="0" xfId="0" applyFont="1"/>
    <xf numFmtId="0" fontId="0" fillId="4" borderId="43" xfId="0" applyFill="1" applyBorder="1" applyAlignment="1">
      <alignment horizontal="center" vertical="center" shrinkToFit="1"/>
    </xf>
    <xf numFmtId="176" fontId="2" fillId="2" borderId="53" xfId="0" applyNumberFormat="1" applyFont="1" applyFill="1" applyBorder="1" applyAlignment="1">
      <alignment vertical="center" wrapText="1"/>
    </xf>
    <xf numFmtId="0" fontId="0" fillId="0" borderId="0" xfId="0" applyBorder="1"/>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9" xfId="0" applyFill="1" applyBorder="1" applyAlignment="1">
      <alignment horizontal="center" vertical="center" wrapText="1"/>
    </xf>
    <xf numFmtId="176" fontId="2" fillId="5" borderId="7" xfId="0" applyNumberFormat="1" applyFont="1" applyFill="1" applyBorder="1" applyAlignment="1">
      <alignment vertical="center" wrapText="1"/>
    </xf>
    <xf numFmtId="176" fontId="0" fillId="5" borderId="28" xfId="0" applyNumberFormat="1" applyFont="1" applyFill="1" applyBorder="1" applyAlignment="1">
      <alignment horizontal="center" vertical="center" wrapText="1"/>
    </xf>
    <xf numFmtId="176" fontId="2" fillId="5" borderId="33" xfId="0" applyNumberFormat="1" applyFont="1" applyFill="1" applyBorder="1" applyAlignment="1">
      <alignment vertical="center" wrapText="1"/>
    </xf>
    <xf numFmtId="0" fontId="8" fillId="0" borderId="0" xfId="0" applyFont="1"/>
    <xf numFmtId="0" fontId="10" fillId="0" borderId="0" xfId="0" applyFont="1" applyFill="1"/>
    <xf numFmtId="0" fontId="8" fillId="0" borderId="0" xfId="0" applyFont="1" applyFill="1"/>
    <xf numFmtId="0" fontId="0" fillId="0" borderId="0" xfId="0" applyFont="1"/>
    <xf numFmtId="0" fontId="4" fillId="5" borderId="10"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6"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2" xfId="0" applyFill="1" applyBorder="1" applyAlignment="1">
      <alignment horizontal="center" vertical="center" wrapText="1"/>
    </xf>
    <xf numFmtId="0" fontId="10" fillId="5" borderId="46" xfId="0" applyFont="1"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14" xfId="0" applyNumberFormat="1" applyFont="1" applyFill="1" applyBorder="1" applyAlignment="1">
      <alignment horizontal="center" vertical="center" wrapText="1"/>
    </xf>
    <xf numFmtId="176" fontId="2" fillId="5" borderId="32" xfId="0" applyNumberFormat="1" applyFont="1" applyFill="1" applyBorder="1" applyAlignment="1">
      <alignment vertical="center" wrapText="1"/>
    </xf>
    <xf numFmtId="0" fontId="0" fillId="4" borderId="4" xfId="0" applyFill="1" applyBorder="1" applyAlignment="1">
      <alignment horizontal="center" vertical="center" shrinkToFit="1"/>
    </xf>
    <xf numFmtId="0" fontId="0" fillId="0" borderId="0" xfId="0" applyAlignment="1"/>
    <xf numFmtId="0" fontId="7" fillId="0" borderId="0" xfId="0" applyFont="1" applyFill="1"/>
    <xf numFmtId="0" fontId="13" fillId="0" borderId="0" xfId="0" applyFont="1" applyFill="1"/>
    <xf numFmtId="0" fontId="13" fillId="0" borderId="0" xfId="0" applyFont="1"/>
    <xf numFmtId="180" fontId="0" fillId="3" borderId="5" xfId="0" applyNumberFormat="1" applyFill="1" applyBorder="1" applyAlignment="1">
      <alignment horizontal="center" vertical="center"/>
    </xf>
    <xf numFmtId="0" fontId="0" fillId="0" borderId="60" xfId="0" applyBorder="1"/>
    <xf numFmtId="0" fontId="0" fillId="0" borderId="60" xfId="0" applyBorder="1" applyAlignment="1">
      <alignment horizontal="right"/>
    </xf>
    <xf numFmtId="0" fontId="0" fillId="0" borderId="0" xfId="0" applyFont="1" applyAlignment="1">
      <alignment horizontal="left" vertical="top" wrapText="1"/>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180" fontId="0" fillId="0" borderId="66" xfId="0" applyNumberFormat="1" applyFill="1" applyBorder="1" applyAlignment="1">
      <alignment horizontal="center" vertical="center"/>
    </xf>
    <xf numFmtId="0" fontId="0" fillId="2" borderId="63" xfId="0" applyFill="1" applyBorder="1" applyAlignment="1">
      <alignment vertical="center" wrapText="1"/>
    </xf>
    <xf numFmtId="0" fontId="11" fillId="2" borderId="52" xfId="0" applyFont="1" applyFill="1" applyBorder="1" applyAlignment="1">
      <alignment wrapText="1"/>
    </xf>
    <xf numFmtId="0" fontId="0" fillId="2" borderId="49" xfId="0" applyFill="1" applyBorder="1" applyAlignment="1">
      <alignment wrapText="1"/>
    </xf>
    <xf numFmtId="0" fontId="11" fillId="2" borderId="59" xfId="0" applyFont="1" applyFill="1" applyBorder="1" applyAlignment="1">
      <alignment wrapText="1"/>
    </xf>
    <xf numFmtId="0" fontId="15" fillId="2" borderId="64" xfId="0" applyFont="1" applyFill="1" applyBorder="1" applyAlignment="1">
      <alignment horizontal="center" vertical="center" wrapText="1"/>
    </xf>
    <xf numFmtId="0" fontId="16" fillId="2" borderId="64"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4" xfId="0" applyFont="1" applyFill="1" applyBorder="1" applyAlignment="1">
      <alignment horizontal="center" vertical="center" wrapText="1"/>
    </xf>
    <xf numFmtId="0" fontId="16" fillId="2" borderId="65"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0" fillId="0" borderId="0" xfId="0" applyFont="1" applyAlignment="1">
      <alignment horizontal="left" vertical="top" wrapText="1"/>
    </xf>
    <xf numFmtId="0" fontId="15" fillId="2" borderId="62" xfId="0" applyFont="1" applyFill="1" applyBorder="1" applyAlignment="1">
      <alignment horizontal="center" vertical="center" wrapText="1"/>
    </xf>
    <xf numFmtId="0" fontId="17" fillId="0" borderId="0" xfId="0" applyFont="1" applyAlignment="1">
      <alignment vertical="center"/>
    </xf>
    <xf numFmtId="0" fontId="10" fillId="4" borderId="64" xfId="0" applyFont="1" applyFill="1" applyBorder="1" applyAlignment="1">
      <alignment horizontal="center" vertical="center" wrapText="1"/>
    </xf>
    <xf numFmtId="0" fontId="8" fillId="4" borderId="64"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4" xfId="0" applyFont="1" applyFill="1" applyBorder="1" applyAlignment="1">
      <alignment horizontal="center" vertical="center" wrapText="1"/>
    </xf>
    <xf numFmtId="0" fontId="8" fillId="4" borderId="65"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0" fillId="2" borderId="3" xfId="0" applyFont="1" applyFill="1" applyBorder="1" applyAlignment="1">
      <alignment wrapText="1"/>
    </xf>
    <xf numFmtId="0" fontId="10" fillId="2" borderId="67" xfId="0" applyFont="1" applyFill="1" applyBorder="1" applyAlignment="1">
      <alignment wrapText="1"/>
    </xf>
    <xf numFmtId="0" fontId="0" fillId="2" borderId="68" xfId="0" applyFill="1" applyBorder="1" applyAlignment="1">
      <alignment vertical="center" wrapText="1"/>
    </xf>
    <xf numFmtId="176" fontId="2" fillId="5" borderId="12" xfId="0" applyNumberFormat="1" applyFont="1" applyFill="1" applyBorder="1" applyAlignment="1" applyProtection="1">
      <alignment vertical="center" wrapText="1"/>
    </xf>
    <xf numFmtId="179" fontId="0" fillId="0" borderId="0" xfId="0" applyNumberFormat="1" applyFill="1" applyAlignment="1">
      <alignment horizontal="right"/>
    </xf>
    <xf numFmtId="0" fontId="0" fillId="0" borderId="0" xfId="0" applyFill="1" applyAlignment="1">
      <alignment horizontal="right"/>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14" xfId="0" applyFill="1" applyBorder="1" applyAlignment="1">
      <alignment horizontal="center"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21" xfId="0" applyFont="1" applyFill="1" applyBorder="1" applyAlignment="1">
      <alignment horizontal="center" vertical="center"/>
    </xf>
    <xf numFmtId="0" fontId="0" fillId="2" borderId="15" xfId="0" applyFill="1" applyBorder="1" applyAlignment="1">
      <alignment horizontal="center" vertical="center" wrapText="1"/>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21" xfId="0" applyFill="1" applyBorder="1" applyAlignment="1">
      <alignment horizontal="center" vertical="center"/>
    </xf>
    <xf numFmtId="0" fontId="0" fillId="0" borderId="30" xfId="0" applyFill="1" applyBorder="1" applyAlignment="1">
      <alignment horizontal="center" vertical="center"/>
    </xf>
    <xf numFmtId="0" fontId="0" fillId="2" borderId="14" xfId="0" applyFill="1" applyBorder="1" applyAlignment="1">
      <alignment horizontal="center" vertical="center" wrapText="1"/>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176" fontId="2" fillId="2" borderId="56" xfId="0" applyNumberFormat="1" applyFont="1" applyFill="1" applyBorder="1" applyAlignment="1">
      <alignment horizontal="center" vertical="center" wrapText="1"/>
    </xf>
    <xf numFmtId="176" fontId="2" fillId="2" borderId="57" xfId="0" applyNumberFormat="1" applyFont="1" applyFill="1" applyBorder="1" applyAlignment="1">
      <alignment horizontal="center" vertical="center" wrapText="1"/>
    </xf>
    <xf numFmtId="176" fontId="2" fillId="2" borderId="58" xfId="0" applyNumberFormat="1" applyFont="1" applyFill="1" applyBorder="1" applyAlignment="1">
      <alignment horizontal="center" vertical="center" wrapText="1"/>
    </xf>
    <xf numFmtId="0" fontId="10" fillId="0" borderId="0" xfId="0" applyFont="1" applyAlignment="1">
      <alignment horizontal="left" vertical="top" wrapText="1"/>
    </xf>
    <xf numFmtId="0" fontId="0" fillId="2" borderId="54" xfId="0" applyFill="1" applyBorder="1" applyAlignment="1">
      <alignment horizontal="center" vertical="center" wrapText="1"/>
    </xf>
    <xf numFmtId="0" fontId="0" fillId="0" borderId="0" xfId="0" applyFont="1" applyAlignment="1">
      <alignment horizontal="left" vertical="top" wrapText="1"/>
    </xf>
    <xf numFmtId="0" fontId="0" fillId="2" borderId="13" xfId="0" applyFill="1" applyBorder="1" applyAlignment="1">
      <alignment horizontal="center" vertical="center" wrapText="1"/>
    </xf>
    <xf numFmtId="0" fontId="0" fillId="2" borderId="16" xfId="0" applyFill="1" applyBorder="1" applyAlignment="1">
      <alignment horizontal="center" vertical="center"/>
    </xf>
    <xf numFmtId="0" fontId="0" fillId="0" borderId="21" xfId="0" applyFill="1" applyBorder="1" applyAlignment="1">
      <alignment horizontal="center" vertical="center" wrapText="1"/>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cellXfs>
  <cellStyles count="1">
    <cellStyle name="標準" xfId="0" builtinId="0"/>
  </cellStyles>
  <dxfs count="26">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rgb="FFCCFFFF"/>
        </patternFill>
      </fill>
    </dxf>
    <dxf>
      <font>
        <color theme="1"/>
      </font>
      <fill>
        <patternFill patternType="solid">
          <bgColor theme="0" tint="-4.9989318521683403E-2"/>
        </patternFill>
      </fill>
      <border>
        <right style="thin">
          <color auto="1"/>
        </right>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ill>
        <patternFill>
          <bgColor theme="1"/>
        </patternFill>
      </fill>
    </dxf>
    <dxf>
      <fill>
        <patternFill>
          <bgColor theme="1"/>
        </patternFill>
      </fill>
    </dxf>
    <dxf>
      <fill>
        <patternFill>
          <bgColor theme="1"/>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CCFFFF"/>
      <color rgb="FFFFFFCC"/>
      <color rgb="FF0000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xdr:cNvGrpSpPr/>
      </xdr:nvGrpSpPr>
      <xdr:grpSpPr>
        <a:xfrm>
          <a:off x="9150161" y="1809751"/>
          <a:ext cx="4692463" cy="4152900"/>
          <a:chOff x="9368118" y="1288676"/>
          <a:chExt cx="4676775" cy="3130553"/>
        </a:xfrm>
      </xdr:grpSpPr>
      <xdr:sp macro="" textlink="">
        <xdr:nvSpPr>
          <xdr:cNvPr id="2" name="正方形/長方形 1"/>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xdr:cNvPicPr>
            <a:picLocks noChangeAspect="1"/>
          </xdr:cNvPicPr>
        </xdr:nvPicPr>
        <xdr:blipFill>
          <a:blip xmlns:r="http://schemas.openxmlformats.org/officeDocument/2006/relationships" r:embed="rId1"/>
          <a:stretch>
            <a:fillRect/>
          </a:stretch>
        </xdr:blipFill>
        <xdr:spPr>
          <a:xfrm>
            <a:off x="9371293" y="2805130"/>
            <a:ext cx="4552026" cy="208178"/>
          </a:xfrm>
          <a:prstGeom prst="rect">
            <a:avLst/>
          </a:prstGeom>
        </xdr:spPr>
      </xdr:pic>
      <xdr:sp macro="" textlink="">
        <xdr:nvSpPr>
          <xdr:cNvPr id="4" name="円/楕円 3"/>
          <xdr:cNvSpPr/>
        </xdr:nvSpPr>
        <xdr:spPr>
          <a:xfrm>
            <a:off x="12809818" y="2734250"/>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3060967"/>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xdr:cNvSpPr/>
        </xdr:nvSpPr>
        <xdr:spPr>
          <a:xfrm>
            <a:off x="13235267" y="3023175"/>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24183</xdr:colOff>
      <xdr:row>9</xdr:row>
      <xdr:rowOff>276225</xdr:rowOff>
    </xdr:from>
    <xdr:to>
      <xdr:col>20</xdr:col>
      <xdr:colOff>391528</xdr:colOff>
      <xdr:row>24</xdr:row>
      <xdr:rowOff>209550</xdr:rowOff>
    </xdr:to>
    <xdr:pic>
      <xdr:nvPicPr>
        <xdr:cNvPr id="4" name="図 3"/>
        <xdr:cNvPicPr>
          <a:picLocks noChangeAspect="1"/>
        </xdr:cNvPicPr>
      </xdr:nvPicPr>
      <xdr:blipFill>
        <a:blip xmlns:r="http://schemas.openxmlformats.org/officeDocument/2006/relationships" r:embed="rId1"/>
        <a:stretch>
          <a:fillRect/>
        </a:stretch>
      </xdr:blipFill>
      <xdr:spPr>
        <a:xfrm>
          <a:off x="9472983" y="2428875"/>
          <a:ext cx="7911145" cy="5000625"/>
        </a:xfrm>
        <a:prstGeom prst="rect">
          <a:avLst/>
        </a:prstGeom>
      </xdr:spPr>
    </xdr:pic>
    <xdr:clientData/>
  </xdr:twoCellAnchor>
  <xdr:oneCellAnchor>
    <xdr:from>
      <xdr:col>3</xdr:col>
      <xdr:colOff>1695450</xdr:colOff>
      <xdr:row>7</xdr:row>
      <xdr:rowOff>38100</xdr:rowOff>
    </xdr:from>
    <xdr:ext cx="266700" cy="276225"/>
    <xdr:sp macro="" textlink="">
      <xdr:nvSpPr>
        <xdr:cNvPr id="44" name="テキスト ボックス 43"/>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予約採用以外の場合に表示</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予約採用以外の貸与奨学金・私立の場合に表示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生計維持者が１人の場合に表示</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1838325</xdr:colOff>
      <xdr:row>33</xdr:row>
      <xdr:rowOff>38100</xdr:rowOff>
    </xdr:from>
    <xdr:ext cx="266700" cy="276225"/>
    <xdr:sp macro="" textlink="">
      <xdr:nvSpPr>
        <xdr:cNvPr id="111" name="テキスト ボックス 110"/>
        <xdr:cNvSpPr txBox="1"/>
      </xdr:nvSpPr>
      <xdr:spPr>
        <a:xfrm>
          <a:off x="3276600" y="100012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oneCellAnchor>
    <xdr:from>
      <xdr:col>3</xdr:col>
      <xdr:colOff>1838325</xdr:colOff>
      <xdr:row>34</xdr:row>
      <xdr:rowOff>47625</xdr:rowOff>
    </xdr:from>
    <xdr:ext cx="266700" cy="276225"/>
    <xdr:sp macro="" textlink="">
      <xdr:nvSpPr>
        <xdr:cNvPr id="112" name="テキスト ボックス 111"/>
        <xdr:cNvSpPr txBox="1"/>
      </xdr:nvSpPr>
      <xdr:spPr>
        <a:xfrm>
          <a:off x="3276600" y="103536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(30)</a:t>
          </a:r>
          <a:endParaRPr kumimoji="1" lang="ja-JP" altLang="en-US" sz="900" b="1">
            <a:solidFill>
              <a:srgbClr val="FF0000"/>
            </a:solidFill>
          </a:endParaRPr>
        </a:p>
      </xdr:txBody>
    </xdr:sp>
    <xdr:clientData/>
  </xdr:oneCellAnchor>
  <xdr:oneCellAnchor>
    <xdr:from>
      <xdr:col>3</xdr:col>
      <xdr:colOff>1838325</xdr:colOff>
      <xdr:row>35</xdr:row>
      <xdr:rowOff>47625</xdr:rowOff>
    </xdr:from>
    <xdr:ext cx="266700" cy="276225"/>
    <xdr:sp macro="" textlink="">
      <xdr:nvSpPr>
        <xdr:cNvPr id="113" name="テキスト ボックス 112"/>
        <xdr:cNvSpPr txBox="1"/>
      </xdr:nvSpPr>
      <xdr:spPr>
        <a:xfrm>
          <a:off x="3276600" y="10696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(31)</a:t>
          </a:r>
          <a:endParaRPr kumimoji="1" lang="ja-JP" altLang="en-US" sz="900" b="1">
            <a:solidFill>
              <a:srgbClr val="FF0000"/>
            </a:solidFill>
          </a:endParaRPr>
        </a:p>
      </xdr:txBody>
    </xdr:sp>
    <xdr:clientData/>
  </xdr:oneCellAnchor>
  <xdr:oneCellAnchor>
    <xdr:from>
      <xdr:col>3</xdr:col>
      <xdr:colOff>1847850</xdr:colOff>
      <xdr:row>36</xdr:row>
      <xdr:rowOff>19050</xdr:rowOff>
    </xdr:from>
    <xdr:ext cx="266700" cy="276225"/>
    <xdr:sp macro="" textlink="">
      <xdr:nvSpPr>
        <xdr:cNvPr id="114" name="テキスト ボックス 113"/>
        <xdr:cNvSpPr txBox="1"/>
      </xdr:nvSpPr>
      <xdr:spPr>
        <a:xfrm>
          <a:off x="3286125" y="11010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(32)</a:t>
          </a:r>
          <a:endParaRPr kumimoji="1" lang="ja-JP" altLang="en-US" sz="900" b="1">
            <a:solidFill>
              <a:srgbClr val="FF0000"/>
            </a:solidFill>
          </a:endParaRPr>
        </a:p>
      </xdr:txBody>
    </xdr:sp>
    <xdr:clientData/>
  </xdr:oneCellAnchor>
  <xdr:oneCellAnchor>
    <xdr:from>
      <xdr:col>3</xdr:col>
      <xdr:colOff>1847850</xdr:colOff>
      <xdr:row>37</xdr:row>
      <xdr:rowOff>38100</xdr:rowOff>
    </xdr:from>
    <xdr:ext cx="266700" cy="276225"/>
    <xdr:sp macro="" textlink="">
      <xdr:nvSpPr>
        <xdr:cNvPr id="115" name="テキスト ボックス 114"/>
        <xdr:cNvSpPr txBox="1"/>
      </xdr:nvSpPr>
      <xdr:spPr>
        <a:xfrm>
          <a:off x="3286125" y="11372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(33)</a:t>
          </a:r>
          <a:endParaRPr kumimoji="1" lang="ja-JP" altLang="en-US" sz="900" b="1">
            <a:solidFill>
              <a:srgbClr val="FF0000"/>
            </a:solidFill>
          </a:endParaRPr>
        </a:p>
      </xdr:txBody>
    </xdr:sp>
    <xdr:clientData/>
  </xdr:oneCellAnchor>
  <xdr:oneCellAnchor>
    <xdr:from>
      <xdr:col>4</xdr:col>
      <xdr:colOff>0</xdr:colOff>
      <xdr:row>38</xdr:row>
      <xdr:rowOff>0</xdr:rowOff>
    </xdr:from>
    <xdr:ext cx="266700" cy="276225"/>
    <xdr:sp macro="" textlink="">
      <xdr:nvSpPr>
        <xdr:cNvPr id="116" name="テキスト ボックス 115"/>
        <xdr:cNvSpPr txBox="1"/>
      </xdr:nvSpPr>
      <xdr:spPr>
        <a:xfrm>
          <a:off x="3295650" y="11677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(34)</a:t>
          </a:r>
          <a:endParaRPr kumimoji="1" lang="ja-JP" altLang="en-US" sz="900" b="1">
            <a:solidFill>
              <a:srgbClr val="FF0000"/>
            </a:solidFill>
          </a:endParaRPr>
        </a:p>
      </xdr:txBody>
    </xdr:sp>
    <xdr:clientData/>
  </xdr:oneCellAnchor>
  <xdr:oneCellAnchor>
    <xdr:from>
      <xdr:col>4</xdr:col>
      <xdr:colOff>0</xdr:colOff>
      <xdr:row>39</xdr:row>
      <xdr:rowOff>0</xdr:rowOff>
    </xdr:from>
    <xdr:ext cx="266700" cy="276225"/>
    <xdr:sp macro="" textlink="">
      <xdr:nvSpPr>
        <xdr:cNvPr id="117" name="テキスト ボックス 116"/>
        <xdr:cNvSpPr txBox="1"/>
      </xdr:nvSpPr>
      <xdr:spPr>
        <a:xfrm>
          <a:off x="3295650" y="12020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(35)</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生計維持者が２人の場合に表示</a:t>
          </a: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638175</xdr:colOff>
      <xdr:row>12</xdr:row>
      <xdr:rowOff>152400</xdr:rowOff>
    </xdr:from>
    <xdr:ext cx="266700" cy="276225"/>
    <xdr:sp macro="" textlink="">
      <xdr:nvSpPr>
        <xdr:cNvPr id="121" name="テキスト ボックス 120"/>
        <xdr:cNvSpPr txBox="1"/>
      </xdr:nvSpPr>
      <xdr:spPr>
        <a:xfrm>
          <a:off x="10772775" y="3333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171450</xdr:colOff>
      <xdr:row>17</xdr:row>
      <xdr:rowOff>0</xdr:rowOff>
    </xdr:from>
    <xdr:ext cx="552450" cy="276225"/>
    <xdr:sp macro="" textlink="">
      <xdr:nvSpPr>
        <xdr:cNvPr id="122" name="テキスト ボックス 121"/>
        <xdr:cNvSpPr txBox="1"/>
      </xdr:nvSpPr>
      <xdr:spPr>
        <a:xfrm>
          <a:off x="12363450" y="4819650"/>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18</xdr:col>
      <xdr:colOff>328983</xdr:colOff>
      <xdr:row>11</xdr:row>
      <xdr:rowOff>180975</xdr:rowOff>
    </xdr:from>
    <xdr:ext cx="266700" cy="276225"/>
    <xdr:sp macro="" textlink="">
      <xdr:nvSpPr>
        <xdr:cNvPr id="123" name="テキスト ボックス 122"/>
        <xdr:cNvSpPr txBox="1"/>
      </xdr:nvSpPr>
      <xdr:spPr>
        <a:xfrm>
          <a:off x="15949983" y="3019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381000</xdr:colOff>
      <xdr:row>19</xdr:row>
      <xdr:rowOff>304800</xdr:rowOff>
    </xdr:from>
    <xdr:ext cx="266700" cy="276225"/>
    <xdr:sp macro="" textlink="">
      <xdr:nvSpPr>
        <xdr:cNvPr id="124" name="テキスト ボックス 123"/>
        <xdr:cNvSpPr txBox="1"/>
      </xdr:nvSpPr>
      <xdr:spPr>
        <a:xfrm>
          <a:off x="10515600" y="58102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16</xdr:col>
      <xdr:colOff>200025</xdr:colOff>
      <xdr:row>12</xdr:row>
      <xdr:rowOff>323850</xdr:rowOff>
    </xdr:from>
    <xdr:ext cx="266700" cy="276225"/>
    <xdr:sp macro="" textlink="">
      <xdr:nvSpPr>
        <xdr:cNvPr id="125" name="テキスト ボックス 124"/>
        <xdr:cNvSpPr txBox="1"/>
      </xdr:nvSpPr>
      <xdr:spPr>
        <a:xfrm>
          <a:off x="14449425" y="35052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247650</xdr:colOff>
      <xdr:row>15</xdr:row>
      <xdr:rowOff>180975</xdr:rowOff>
    </xdr:from>
    <xdr:ext cx="409575" cy="276225"/>
    <xdr:sp macro="" textlink="">
      <xdr:nvSpPr>
        <xdr:cNvPr id="126" name="テキスト ボックス 125"/>
        <xdr:cNvSpPr txBox="1"/>
      </xdr:nvSpPr>
      <xdr:spPr>
        <a:xfrm>
          <a:off x="12439650" y="435292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590550</xdr:colOff>
      <xdr:row>20</xdr:row>
      <xdr:rowOff>66675</xdr:rowOff>
    </xdr:from>
    <xdr:ext cx="266700" cy="276225"/>
    <xdr:sp macro="" textlink="">
      <xdr:nvSpPr>
        <xdr:cNvPr id="127" name="テキスト ボックス 126"/>
        <xdr:cNvSpPr txBox="1"/>
      </xdr:nvSpPr>
      <xdr:spPr>
        <a:xfrm>
          <a:off x="13468350" y="5915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600075</xdr:colOff>
      <xdr:row>21</xdr:row>
      <xdr:rowOff>57150</xdr:rowOff>
    </xdr:from>
    <xdr:ext cx="266700" cy="276225"/>
    <xdr:sp macro="" textlink="">
      <xdr:nvSpPr>
        <xdr:cNvPr id="128" name="テキスト ボックス 127"/>
        <xdr:cNvSpPr txBox="1"/>
      </xdr:nvSpPr>
      <xdr:spPr>
        <a:xfrm>
          <a:off x="13477875" y="62484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19</xdr:col>
      <xdr:colOff>314325</xdr:colOff>
      <xdr:row>14</xdr:row>
      <xdr:rowOff>19050</xdr:rowOff>
    </xdr:from>
    <xdr:ext cx="266700" cy="276225"/>
    <xdr:sp macro="" textlink="">
      <xdr:nvSpPr>
        <xdr:cNvPr id="129" name="テキスト ボックス 128"/>
        <xdr:cNvSpPr txBox="1"/>
      </xdr:nvSpPr>
      <xdr:spPr>
        <a:xfrm>
          <a:off x="16621125" y="38862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19</xdr:col>
      <xdr:colOff>285750</xdr:colOff>
      <xdr:row>18</xdr:row>
      <xdr:rowOff>161925</xdr:rowOff>
    </xdr:from>
    <xdr:ext cx="266700" cy="276225"/>
    <xdr:sp macro="" textlink="">
      <xdr:nvSpPr>
        <xdr:cNvPr id="130" name="テキスト ボックス 129"/>
        <xdr:cNvSpPr txBox="1"/>
      </xdr:nvSpPr>
      <xdr:spPr>
        <a:xfrm>
          <a:off x="16592550" y="53244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523875</xdr:colOff>
      <xdr:row>23</xdr:row>
      <xdr:rowOff>38100</xdr:rowOff>
    </xdr:from>
    <xdr:ext cx="266700" cy="276225"/>
    <xdr:sp macro="" textlink="">
      <xdr:nvSpPr>
        <xdr:cNvPr id="131" name="テキスト ボックス 130"/>
        <xdr:cNvSpPr txBox="1"/>
      </xdr:nvSpPr>
      <xdr:spPr>
        <a:xfrm>
          <a:off x="14773275" y="69151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tabSelected="1" view="pageBreakPreview" zoomScaleNormal="100" zoomScaleSheetLayoutView="100" workbookViewId="0">
      <selection activeCell="E15" sqref="E15"/>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5" t="s">
        <v>135</v>
      </c>
      <c r="G1" s="42">
        <f>MAX(修正履歴!A:A)</f>
        <v>45383</v>
      </c>
    </row>
    <row r="2" spans="2:8" x14ac:dyDescent="0.15">
      <c r="G2" s="15"/>
    </row>
    <row r="3" spans="2:8" x14ac:dyDescent="0.15">
      <c r="B3" s="70" t="s">
        <v>162</v>
      </c>
      <c r="G3" s="15"/>
    </row>
    <row r="4" spans="2:8" x14ac:dyDescent="0.15">
      <c r="B4" t="s">
        <v>163</v>
      </c>
      <c r="G4" s="15"/>
    </row>
    <row r="5" spans="2:8" x14ac:dyDescent="0.15">
      <c r="G5" s="15"/>
    </row>
    <row r="6" spans="2:8" x14ac:dyDescent="0.15">
      <c r="B6" s="36" t="s">
        <v>87</v>
      </c>
      <c r="G6" s="15"/>
    </row>
    <row r="7" spans="2:8" ht="24.75" customHeight="1" thickBot="1" x14ac:dyDescent="0.2">
      <c r="B7" s="22" t="s">
        <v>158</v>
      </c>
      <c r="F7" s="87"/>
      <c r="G7" s="88"/>
    </row>
    <row r="8" spans="2:8" ht="27" customHeight="1" x14ac:dyDescent="0.15">
      <c r="B8" s="128" t="s">
        <v>144</v>
      </c>
      <c r="C8" s="129"/>
      <c r="D8" s="130"/>
      <c r="E8" s="49">
        <v>2024</v>
      </c>
      <c r="F8" s="93" t="str">
        <f>IF(計算シート!B3&gt;1,"在籍校の設置者を選択してください。","")</f>
        <v>在籍校の設置者を選択してください。</v>
      </c>
      <c r="G8" s="104" t="s">
        <v>165</v>
      </c>
    </row>
    <row r="9" spans="2:8" ht="27" customHeight="1" x14ac:dyDescent="0.15">
      <c r="B9" s="131" t="s">
        <v>89</v>
      </c>
      <c r="C9" s="132"/>
      <c r="D9" s="133"/>
      <c r="E9" s="81" t="s">
        <v>88</v>
      </c>
      <c r="F9" s="94" t="str">
        <f>IF(AND(計算シート!B4&lt;4,計算シート!B3&gt;1,VLOOKUP(G8,リストボックス!AB2:AC3,2,0)=2),"通学形態を選択してください。","")</f>
        <v/>
      </c>
      <c r="G9" s="97" t="s">
        <v>168</v>
      </c>
    </row>
    <row r="10" spans="2:8" ht="27" customHeight="1" x14ac:dyDescent="0.15">
      <c r="B10" s="131" t="s">
        <v>160</v>
      </c>
      <c r="C10" s="132"/>
      <c r="D10" s="133"/>
      <c r="E10" s="57" t="s">
        <v>136</v>
      </c>
      <c r="F10" s="95" t="str">
        <f>IF(計算シート!B4=3,"両方を希望した場合の優先順位を選択してください。","")</f>
        <v/>
      </c>
      <c r="G10" s="98" t="s">
        <v>121</v>
      </c>
      <c r="H10" s="12"/>
    </row>
    <row r="11" spans="2:8" ht="27" customHeight="1" x14ac:dyDescent="0.15">
      <c r="B11" s="131" t="s">
        <v>161</v>
      </c>
      <c r="C11" s="132"/>
      <c r="D11" s="133"/>
      <c r="E11" s="102">
        <v>2</v>
      </c>
      <c r="F11" s="95" t="str">
        <f>IF(計算シート!B2=2,"生計維持者１の続柄を選択してください。","")</f>
        <v/>
      </c>
      <c r="G11" s="99" t="s">
        <v>131</v>
      </c>
    </row>
    <row r="12" spans="2:8" ht="27" customHeight="1" thickBot="1" x14ac:dyDescent="0.2">
      <c r="B12" s="141" t="s">
        <v>153</v>
      </c>
      <c r="C12" s="142"/>
      <c r="D12" s="143"/>
      <c r="E12" s="86"/>
      <c r="F12" s="94" t="str">
        <f>IF(AND(計算シート!B4=4,計算シート!B2&lt;3),"申込者/奨学生は生計維持者に扶養されていますか。","")</f>
        <v>申込者/奨学生は生計維持者に扶養されていますか。</v>
      </c>
      <c r="G12" s="100" t="s">
        <v>156</v>
      </c>
    </row>
    <row r="13" spans="2:8" ht="27" customHeight="1" thickBot="1" x14ac:dyDescent="0.2">
      <c r="B13" s="90"/>
      <c r="C13" s="91"/>
      <c r="D13" s="91"/>
      <c r="E13" s="92"/>
      <c r="F13" s="96" t="str">
        <f>IF(AND(計算シート!B4=4,計算シート!B3&gt;1,VLOOKUP(G8,リストボックス!AB2:AC3,2,0)=2),"在籍している学科等は理工農系の分野ですか。","")</f>
        <v/>
      </c>
      <c r="G13" s="101" t="s">
        <v>146</v>
      </c>
    </row>
    <row r="14" spans="2:8" ht="27" customHeight="1" x14ac:dyDescent="0.15">
      <c r="B14" s="37" t="s">
        <v>90</v>
      </c>
      <c r="C14" s="17"/>
      <c r="D14" s="17"/>
      <c r="E14" s="17"/>
    </row>
    <row r="15" spans="2:8" ht="24" customHeight="1" x14ac:dyDescent="0.15">
      <c r="B15" s="22" t="s">
        <v>91</v>
      </c>
      <c r="C15" s="17"/>
      <c r="D15" s="17"/>
      <c r="E15" s="16"/>
    </row>
    <row r="16" spans="2:8" ht="24" customHeight="1" thickBot="1" x14ac:dyDescent="0.2">
      <c r="B16" s="22" t="str">
        <f>IF(E8&lt;&gt;0,"課税証明書（所得証明書）は、"&amp;YEAR(計算シート!B8)&amp;"年度（"&amp;YEAR(計算シート!B8)-1&amp;"年分）のものを用意してください。","")</f>
        <v>課税証明書（所得証明書）は、2024年度（2023年分）のものを用意してください。</v>
      </c>
      <c r="C16" s="17"/>
      <c r="D16" s="17"/>
      <c r="E16" s="16"/>
    </row>
    <row r="17" spans="2:7" ht="55.5" customHeight="1" thickBot="1" x14ac:dyDescent="0.2">
      <c r="B17" s="18" t="s">
        <v>34</v>
      </c>
      <c r="C17" s="139" t="s">
        <v>31</v>
      </c>
      <c r="D17" s="140"/>
      <c r="E17" s="19" t="s">
        <v>9</v>
      </c>
      <c r="F17" s="20" t="s">
        <v>10</v>
      </c>
      <c r="G17" s="21" t="s">
        <v>11</v>
      </c>
    </row>
    <row r="18" spans="2:7" ht="27" customHeight="1" thickTop="1" x14ac:dyDescent="0.15">
      <c r="B18" s="14" t="s">
        <v>36</v>
      </c>
      <c r="C18" s="136" t="s">
        <v>76</v>
      </c>
      <c r="D18" s="137"/>
      <c r="E18" s="29"/>
      <c r="F18" s="44"/>
      <c r="G18" s="31"/>
    </row>
    <row r="19" spans="2:7" ht="27" customHeight="1" x14ac:dyDescent="0.15">
      <c r="B19" s="2" t="s">
        <v>37</v>
      </c>
      <c r="C19" s="138" t="s">
        <v>4</v>
      </c>
      <c r="D19" s="10" t="s">
        <v>17</v>
      </c>
      <c r="E19" s="23" t="s">
        <v>65</v>
      </c>
      <c r="F19" s="24" t="s">
        <v>65</v>
      </c>
      <c r="G19" s="25" t="s">
        <v>65</v>
      </c>
    </row>
    <row r="20" spans="2:7" ht="27" customHeight="1" x14ac:dyDescent="0.15">
      <c r="B20" s="2" t="s">
        <v>38</v>
      </c>
      <c r="C20" s="138"/>
      <c r="D20" s="41" t="str">
        <f>"控除対象寡婦"&amp;IF(計算シート!B27=1,"・ひとり親","（寡夫）")</f>
        <v>控除対象寡婦・ひとり親</v>
      </c>
      <c r="E20" s="23" t="s">
        <v>65</v>
      </c>
      <c r="F20" s="24" t="s">
        <v>65</v>
      </c>
      <c r="G20" s="25" t="s">
        <v>65</v>
      </c>
    </row>
    <row r="21" spans="2:7" ht="27" customHeight="1" x14ac:dyDescent="0.15">
      <c r="B21" s="2" t="s">
        <v>39</v>
      </c>
      <c r="C21" s="134" t="s">
        <v>5</v>
      </c>
      <c r="D21" s="135"/>
      <c r="E21" s="32"/>
      <c r="F21" s="33"/>
      <c r="G21" s="34"/>
    </row>
    <row r="22" spans="2:7" ht="27" customHeight="1" x14ac:dyDescent="0.15">
      <c r="B22" s="2" t="s">
        <v>40</v>
      </c>
      <c r="C22" s="138" t="str">
        <f>IF(E8="","----年-月-日",TEXT(計算シート!B8,"yyyy年m月d日"))&amp;"時点の生活保護法の
生活扶助の受給"</f>
        <v>2024年1月1日時点の生活保護法の
生活扶助の受給</v>
      </c>
      <c r="D22" s="144"/>
      <c r="E22" s="23" t="s">
        <v>61</v>
      </c>
      <c r="F22" s="24" t="s">
        <v>61</v>
      </c>
      <c r="G22" s="25" t="s">
        <v>61</v>
      </c>
    </row>
    <row r="23" spans="2:7" ht="27" customHeight="1" x14ac:dyDescent="0.15">
      <c r="B23" s="2" t="s">
        <v>42</v>
      </c>
      <c r="C23" s="136" t="s">
        <v>77</v>
      </c>
      <c r="D23" s="137"/>
      <c r="E23" s="29"/>
      <c r="F23" s="30"/>
      <c r="G23" s="31"/>
    </row>
    <row r="24" spans="2:7" ht="27" customHeight="1" x14ac:dyDescent="0.15">
      <c r="B24" s="2" t="s">
        <v>44</v>
      </c>
      <c r="C24" s="136" t="s">
        <v>2</v>
      </c>
      <c r="D24" s="137"/>
      <c r="E24" s="23" t="s">
        <v>65</v>
      </c>
      <c r="F24" s="24" t="s">
        <v>65</v>
      </c>
      <c r="G24" s="25" t="s">
        <v>65</v>
      </c>
    </row>
    <row r="25" spans="2:7" ht="27" customHeight="1" x14ac:dyDescent="0.15">
      <c r="B25" s="2" t="s">
        <v>45</v>
      </c>
      <c r="C25" s="138" t="s">
        <v>3</v>
      </c>
      <c r="D25" s="10" t="s">
        <v>78</v>
      </c>
      <c r="E25" s="26"/>
      <c r="F25" s="27"/>
      <c r="G25" s="28"/>
    </row>
    <row r="26" spans="2:7" ht="27" customHeight="1" x14ac:dyDescent="0.15">
      <c r="B26" s="2" t="s">
        <v>46</v>
      </c>
      <c r="C26" s="138"/>
      <c r="D26" s="10" t="s">
        <v>79</v>
      </c>
      <c r="E26" s="26"/>
      <c r="F26" s="27"/>
      <c r="G26" s="28"/>
    </row>
    <row r="27" spans="2:7" ht="27" customHeight="1" x14ac:dyDescent="0.15">
      <c r="B27" s="2" t="s">
        <v>47</v>
      </c>
      <c r="C27" s="138"/>
      <c r="D27" s="10" t="s">
        <v>80</v>
      </c>
      <c r="E27" s="26"/>
      <c r="F27" s="27"/>
      <c r="G27" s="28"/>
    </row>
    <row r="28" spans="2:7" ht="27" customHeight="1" x14ac:dyDescent="0.15">
      <c r="B28" s="2" t="s">
        <v>48</v>
      </c>
      <c r="C28" s="136" t="s">
        <v>81</v>
      </c>
      <c r="D28" s="137"/>
      <c r="E28" s="26"/>
      <c r="F28" s="27"/>
      <c r="G28" s="28"/>
    </row>
    <row r="29" spans="2:7" ht="27" customHeight="1" x14ac:dyDescent="0.15">
      <c r="B29" s="2" t="s">
        <v>51</v>
      </c>
      <c r="C29" s="136" t="s">
        <v>82</v>
      </c>
      <c r="D29" s="137"/>
      <c r="E29" s="29"/>
      <c r="F29" s="44"/>
      <c r="G29" s="31"/>
    </row>
    <row r="30" spans="2:7" ht="27" customHeight="1" x14ac:dyDescent="0.15">
      <c r="B30" s="2" t="s">
        <v>52</v>
      </c>
      <c r="C30" s="136" t="s">
        <v>83</v>
      </c>
      <c r="D30" s="137"/>
      <c r="E30" s="29"/>
      <c r="F30" s="44"/>
      <c r="G30" s="31"/>
    </row>
    <row r="31" spans="2:7" ht="27" customHeight="1" x14ac:dyDescent="0.15">
      <c r="B31" s="2" t="s">
        <v>53</v>
      </c>
      <c r="C31" s="136" t="s">
        <v>137</v>
      </c>
      <c r="D31" s="137"/>
      <c r="E31" s="29"/>
      <c r="F31" s="44"/>
      <c r="G31" s="31"/>
    </row>
    <row r="32" spans="2:7" ht="27" customHeight="1" x14ac:dyDescent="0.15">
      <c r="B32" s="2" t="s">
        <v>54</v>
      </c>
      <c r="C32" s="136" t="s">
        <v>7</v>
      </c>
      <c r="D32" s="137"/>
      <c r="E32" s="23" t="s">
        <v>63</v>
      </c>
      <c r="F32" s="24" t="s">
        <v>63</v>
      </c>
      <c r="G32" s="25" t="s">
        <v>63</v>
      </c>
    </row>
    <row r="33" spans="2:12" ht="27" hidden="1" customHeight="1" thickBot="1" x14ac:dyDescent="0.2">
      <c r="B33" s="52">
        <v>4</v>
      </c>
      <c r="C33" s="151" t="s">
        <v>109</v>
      </c>
      <c r="D33" s="152"/>
      <c r="E33" s="53"/>
      <c r="F33" s="54"/>
      <c r="G33" s="55"/>
      <c r="L33" s="59"/>
    </row>
    <row r="34" spans="2:12" ht="27" customHeight="1" x14ac:dyDescent="0.15">
      <c r="B34" s="51" t="s">
        <v>41</v>
      </c>
      <c r="C34" s="150" t="s">
        <v>35</v>
      </c>
      <c r="D34" s="135"/>
      <c r="E34" s="8">
        <f>計算シート!B20</f>
        <v>0</v>
      </c>
      <c r="F34" s="5">
        <f>計算シート!C20</f>
        <v>0</v>
      </c>
      <c r="G34" s="6">
        <f>計算シート!D20</f>
        <v>0</v>
      </c>
    </row>
    <row r="35" spans="2:12" ht="27" customHeight="1" x14ac:dyDescent="0.15">
      <c r="B35" s="2" t="s">
        <v>43</v>
      </c>
      <c r="C35" s="134" t="s">
        <v>84</v>
      </c>
      <c r="D35" s="135"/>
      <c r="E35" s="8">
        <f>計算シート!B13</f>
        <v>0</v>
      </c>
      <c r="F35" s="5">
        <f>計算シート!C13</f>
        <v>0</v>
      </c>
      <c r="G35" s="6">
        <f>計算シート!D13</f>
        <v>0</v>
      </c>
    </row>
    <row r="36" spans="2:12" ht="27" customHeight="1" x14ac:dyDescent="0.15">
      <c r="B36" s="2" t="s">
        <v>49</v>
      </c>
      <c r="C36" s="136" t="s">
        <v>85</v>
      </c>
      <c r="D36" s="137"/>
      <c r="E36" s="11">
        <f>計算シート!B15</f>
        <v>0</v>
      </c>
      <c r="F36" s="11">
        <f>計算シート!C15</f>
        <v>0</v>
      </c>
      <c r="G36" s="13">
        <f>計算シート!D15</f>
        <v>0</v>
      </c>
      <c r="H36" s="12"/>
    </row>
    <row r="37" spans="2:12" ht="27" customHeight="1" x14ac:dyDescent="0.15">
      <c r="B37" s="2" t="s">
        <v>50</v>
      </c>
      <c r="C37" s="138" t="s">
        <v>86</v>
      </c>
      <c r="D37" s="137"/>
      <c r="E37" s="9">
        <f>計算シート!B16</f>
        <v>450000</v>
      </c>
      <c r="F37" s="3">
        <f>計算シート!C16</f>
        <v>450000</v>
      </c>
      <c r="G37" s="4">
        <f>計算シート!D16</f>
        <v>450000</v>
      </c>
    </row>
    <row r="38" spans="2:12" ht="27" customHeight="1" x14ac:dyDescent="0.15">
      <c r="B38" s="2" t="s">
        <v>55</v>
      </c>
      <c r="C38" s="136" t="str">
        <f>IF(計算シート!B4&lt;4,"貸与額算定基準額（円）","支給額算定基準額（円）")</f>
        <v>支給額算定基準額（円）</v>
      </c>
      <c r="D38" s="137"/>
      <c r="E38" s="58">
        <f>IF(計算シート!B4&lt;4,計算シート!B33,計算シート!B34)</f>
        <v>0</v>
      </c>
      <c r="F38" s="3">
        <f>IF(計算シート!B4&lt;4,計算シート!C33,計算シート!C34)</f>
        <v>0</v>
      </c>
      <c r="G38" s="4">
        <f>IF(計算シート!B4&lt;4,計算シート!D26,計算シート!D25)</f>
        <v>0</v>
      </c>
    </row>
    <row r="39" spans="2:12" ht="27" customHeight="1" thickBot="1" x14ac:dyDescent="0.2">
      <c r="B39" s="50">
        <v>4</v>
      </c>
      <c r="C39" s="153" t="str">
        <f>IF(計算シート!B4&lt;4,"世帯の貸与額算定基準額（円）","世帯の支給額算定基準額（円）")</f>
        <v>世帯の支給額算定基準額（円）</v>
      </c>
      <c r="D39" s="154"/>
      <c r="E39" s="155">
        <f>IF(計算シート!B4&lt;4,計算シート!B39,SUM(計算シート!B34:C34,計算シート!D25))</f>
        <v>0</v>
      </c>
      <c r="F39" s="156"/>
      <c r="G39" s="157"/>
    </row>
    <row r="40" spans="2:12" ht="27" customHeight="1" thickTop="1" thickBot="1" x14ac:dyDescent="0.2">
      <c r="B40" s="39"/>
      <c r="C40" s="148" t="str">
        <f>IF(計算シート!B4&lt;4,"家計基準が適格となる種別","支援区分")</f>
        <v>支援区分</v>
      </c>
      <c r="D40" s="149"/>
      <c r="E40" s="145" t="str">
        <f>IF(計算シート!B4&lt;4,計算シート!B43,計算シート!B44&amp;計算シート!B45)</f>
        <v>第Ⅰ区分</v>
      </c>
      <c r="F40" s="146"/>
      <c r="G40" s="147"/>
      <c r="H40" s="15"/>
    </row>
  </sheetData>
  <sheetProtection password="FE18" sheet="1" objects="1" scenarios="1"/>
  <protectedRanges>
    <protectedRange sqref="G8:G13" name="範囲3"/>
    <protectedRange sqref="E8:E12" name="範囲1"/>
    <protectedRange sqref="E18:G33" name="範囲2"/>
  </protectedRanges>
  <mergeCells count="28">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s>
  <phoneticPr fontId="1"/>
  <conditionalFormatting sqref="F10">
    <cfRule type="expression" dxfId="25" priority="3">
      <formula>"計算シート!B4=3"</formula>
    </cfRule>
  </conditionalFormatting>
  <conditionalFormatting sqref="F11">
    <cfRule type="expression" dxfId="24" priority="2">
      <formula>"計算シート!B2=2"</formula>
    </cfRule>
  </conditionalFormatting>
  <dataValidations count="1">
    <dataValidation type="whole" allowBlank="1" showInputMessage="1" showErrorMessage="1" sqref="E12:E13">
      <formula1>0</formula1>
      <formula2>99</formula2>
    </dataValidation>
  </dataValidations>
  <pageMargins left="0.23622047244094491" right="0.23622047244094491" top="0.23622047244094491" bottom="0.23622047244094491" header="0.11811023622047245" footer="0.11811023622047245"/>
  <pageSetup paperSize="9" scale="8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8"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17"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15" id="{3CF463A4-855B-4A19-A514-96BBC58BCF53}">
            <xm:f>AND(計算シート!$B$4&lt;4,計算シート!$B$2&lt;3)</xm:f>
            <x14:dxf>
              <fill>
                <patternFill>
                  <bgColor theme="1"/>
                </patternFill>
              </fill>
            </x14:dxf>
          </x14:cfRule>
          <xm:sqref>G18:G20 G22:G38</xm:sqref>
        </x14:conditionalFormatting>
        <x14:conditionalFormatting xmlns:xm="http://schemas.microsoft.com/office/excel/2006/main">
          <x14:cfRule type="expression" priority="14"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3"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1"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9"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8"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7"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6"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5"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4"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1"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リストボックス!$A$2:$A$4</xm:f>
          </x14:formula1>
          <xm:sqref>E11</xm:sqref>
        </x14:dataValidation>
        <x14:dataValidation type="list" allowBlank="1" showInputMessage="1" showErrorMessage="1">
          <x14:formula1>
            <xm:f>リストボックス!$E$2:$E$3</xm:f>
          </x14:formula1>
          <xm:sqref>E22:G22</xm:sqref>
        </x14:dataValidation>
        <x14:dataValidation type="list" allowBlank="1" showInputMessage="1" showErrorMessage="1">
          <x14:formula1>
            <xm:f>リストボックス!$G$2:$G$3</xm:f>
          </x14:formula1>
          <xm:sqref>E32:G32</xm:sqref>
        </x14:dataValidation>
        <x14:dataValidation type="list" allowBlank="1" showInputMessage="1" showErrorMessage="1">
          <x14:formula1>
            <xm:f>リストボックス!$I$2:$I$5</xm:f>
          </x14:formula1>
          <xm:sqref>E24:G24</xm:sqref>
        </x14:dataValidation>
        <x14:dataValidation type="list" allowBlank="1" showInputMessage="1" showErrorMessage="1">
          <x14:formula1>
            <xm:f>リストボックス!$K$2:$K$5</xm:f>
          </x14:formula1>
          <xm:sqref>E19:G19</xm:sqref>
        </x14:dataValidation>
        <x14:dataValidation type="list" allowBlank="1" showInputMessage="1" showErrorMessage="1">
          <x14:formula1>
            <xm:f>リストボックス!$M$2:$M$6</xm:f>
          </x14:formula1>
          <xm:sqref>E20:G20</xm:sqref>
        </x14:dataValidation>
        <x14:dataValidation type="list" allowBlank="1" showInputMessage="1" showErrorMessage="1">
          <x14:formula1>
            <xm:f>リストボックス!$C$2:$C$5</xm:f>
          </x14:formula1>
          <xm:sqref>E9</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リストボックス!$AB$2:$AB$3</xm:f>
          </x14:formula1>
          <xm:sqref>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1"/>
  <sheetViews>
    <sheetView view="pageBreakPreview" zoomScaleNormal="100" zoomScaleSheetLayoutView="100" workbookViewId="0">
      <selection activeCell="J26" sqref="J26:V41"/>
    </sheetView>
  </sheetViews>
  <sheetFormatPr defaultRowHeight="13.5" x14ac:dyDescent="0.15"/>
  <cols>
    <col min="1" max="1" width="1.625" customWidth="1"/>
    <col min="2" max="2" width="7.125" customWidth="1"/>
    <col min="4" max="4" width="24.375" customWidth="1"/>
    <col min="5" max="7" width="22.375" customWidth="1"/>
    <col min="8" max="8" width="13.25" style="45" customWidth="1"/>
    <col min="9" max="9" width="0.375" customWidth="1"/>
    <col min="22" max="22" width="8.75" customWidth="1"/>
  </cols>
  <sheetData>
    <row r="1" spans="2:22" ht="23.25" customHeight="1" x14ac:dyDescent="0.15">
      <c r="B1" s="105" t="s">
        <v>170</v>
      </c>
      <c r="E1" s="40" t="s">
        <v>92</v>
      </c>
      <c r="G1" s="42">
        <f>MAX(修正履歴!A:A)</f>
        <v>45383</v>
      </c>
      <c r="H1" s="116"/>
      <c r="I1" t="s">
        <v>93</v>
      </c>
      <c r="N1" s="47" t="s">
        <v>106</v>
      </c>
      <c r="V1" s="42">
        <f>G1</f>
        <v>45383</v>
      </c>
    </row>
    <row r="2" spans="2:22" x14ac:dyDescent="0.15">
      <c r="G2" s="15"/>
      <c r="H2" s="117"/>
    </row>
    <row r="3" spans="2:22" x14ac:dyDescent="0.15">
      <c r="B3" s="70" t="s">
        <v>162</v>
      </c>
      <c r="G3" s="15"/>
      <c r="H3" s="117"/>
      <c r="J3" t="s">
        <v>182</v>
      </c>
    </row>
    <row r="4" spans="2:22" x14ac:dyDescent="0.15">
      <c r="B4" t="s">
        <v>163</v>
      </c>
      <c r="G4" s="15"/>
      <c r="H4" s="117"/>
      <c r="J4" t="s">
        <v>108</v>
      </c>
    </row>
    <row r="5" spans="2:22" ht="13.5" customHeight="1" x14ac:dyDescent="0.15">
      <c r="G5" s="15"/>
      <c r="H5" s="117"/>
      <c r="J5" s="160" t="s">
        <v>183</v>
      </c>
      <c r="K5" s="160"/>
      <c r="L5" s="160"/>
      <c r="M5" s="160"/>
      <c r="N5" s="160"/>
      <c r="O5" s="160"/>
      <c r="P5" s="160"/>
      <c r="Q5" s="160"/>
      <c r="R5" s="160"/>
      <c r="S5" s="160"/>
      <c r="T5" s="160"/>
      <c r="U5" s="160"/>
      <c r="V5" s="160"/>
    </row>
    <row r="6" spans="2:22" ht="13.5" customHeight="1" x14ac:dyDescent="0.15">
      <c r="B6" s="36" t="s">
        <v>87</v>
      </c>
      <c r="G6" s="15" t="s">
        <v>94</v>
      </c>
      <c r="H6" s="117"/>
      <c r="J6" s="160"/>
      <c r="K6" s="160"/>
      <c r="L6" s="160"/>
      <c r="M6" s="160"/>
      <c r="N6" s="160"/>
      <c r="O6" s="160"/>
      <c r="P6" s="160"/>
      <c r="Q6" s="160"/>
      <c r="R6" s="160"/>
      <c r="S6" s="160"/>
      <c r="T6" s="160"/>
      <c r="U6" s="160"/>
      <c r="V6" s="160"/>
    </row>
    <row r="7" spans="2:22" ht="24.75" customHeight="1" thickBot="1" x14ac:dyDescent="0.2">
      <c r="B7" s="22" t="s">
        <v>184</v>
      </c>
      <c r="G7" s="15"/>
      <c r="H7" s="117"/>
      <c r="J7" s="160"/>
      <c r="K7" s="160"/>
      <c r="L7" s="160"/>
      <c r="M7" s="160"/>
      <c r="N7" s="160"/>
      <c r="O7" s="160"/>
      <c r="P7" s="160"/>
      <c r="Q7" s="160"/>
      <c r="R7" s="160"/>
      <c r="S7" s="160"/>
      <c r="T7" s="160"/>
      <c r="U7" s="160"/>
      <c r="V7" s="160"/>
    </row>
    <row r="8" spans="2:22" ht="27" customHeight="1" x14ac:dyDescent="0.15">
      <c r="B8" s="128" t="s">
        <v>144</v>
      </c>
      <c r="C8" s="129"/>
      <c r="D8" s="130"/>
      <c r="E8" s="49">
        <v>2024</v>
      </c>
      <c r="F8" s="114" t="s">
        <v>176</v>
      </c>
      <c r="G8" s="111" t="s">
        <v>166</v>
      </c>
      <c r="H8" s="118"/>
      <c r="J8" s="160"/>
      <c r="K8" s="160"/>
      <c r="L8" s="160"/>
      <c r="M8" s="160"/>
      <c r="N8" s="160"/>
      <c r="O8" s="160"/>
      <c r="P8" s="160"/>
      <c r="Q8" s="160"/>
      <c r="R8" s="160"/>
      <c r="S8" s="160"/>
      <c r="T8" s="160"/>
      <c r="U8" s="160"/>
      <c r="V8" s="160"/>
    </row>
    <row r="9" spans="2:22" ht="27" customHeight="1" x14ac:dyDescent="0.15">
      <c r="B9" s="131" t="s">
        <v>89</v>
      </c>
      <c r="C9" s="132"/>
      <c r="D9" s="133"/>
      <c r="E9" s="81" t="s">
        <v>58</v>
      </c>
      <c r="F9" s="112" t="s">
        <v>171</v>
      </c>
      <c r="G9" s="106" t="s">
        <v>168</v>
      </c>
      <c r="H9" s="118"/>
      <c r="J9" s="160"/>
      <c r="K9" s="160"/>
      <c r="L9" s="160"/>
      <c r="M9" s="160"/>
      <c r="N9" s="160"/>
      <c r="O9" s="160"/>
      <c r="P9" s="160"/>
      <c r="Q9" s="160"/>
      <c r="R9" s="160"/>
      <c r="S9" s="160"/>
      <c r="T9" s="160"/>
      <c r="U9" s="160"/>
      <c r="V9" s="160"/>
    </row>
    <row r="10" spans="2:22" ht="27" customHeight="1" x14ac:dyDescent="0.15">
      <c r="B10" s="131" t="s">
        <v>160</v>
      </c>
      <c r="C10" s="132"/>
      <c r="D10" s="133"/>
      <c r="E10" s="57" t="s">
        <v>120</v>
      </c>
      <c r="F10" s="112" t="s">
        <v>172</v>
      </c>
      <c r="G10" s="107" t="s">
        <v>121</v>
      </c>
      <c r="H10" s="119"/>
      <c r="J10" s="160"/>
      <c r="K10" s="160"/>
      <c r="L10" s="160"/>
      <c r="M10" s="160"/>
      <c r="N10" s="160"/>
      <c r="O10" s="160"/>
      <c r="P10" s="160"/>
      <c r="Q10" s="160"/>
      <c r="R10" s="160"/>
      <c r="S10" s="160"/>
      <c r="T10" s="160"/>
      <c r="U10" s="160"/>
      <c r="V10" s="160"/>
    </row>
    <row r="11" spans="2:22" ht="27" customHeight="1" x14ac:dyDescent="0.15">
      <c r="B11" s="131" t="s">
        <v>161</v>
      </c>
      <c r="C11" s="132"/>
      <c r="D11" s="133"/>
      <c r="E11" s="102">
        <v>1</v>
      </c>
      <c r="F11" s="112" t="s">
        <v>173</v>
      </c>
      <c r="G11" s="108" t="s">
        <v>131</v>
      </c>
      <c r="H11" s="119"/>
      <c r="J11" s="160"/>
      <c r="K11" s="160"/>
      <c r="L11" s="160"/>
      <c r="M11" s="160"/>
      <c r="N11" s="160"/>
      <c r="O11" s="160"/>
      <c r="P11" s="160"/>
      <c r="Q11" s="160"/>
      <c r="R11" s="160"/>
      <c r="S11" s="160"/>
      <c r="T11" s="160"/>
      <c r="U11" s="160"/>
      <c r="V11" s="160"/>
    </row>
    <row r="12" spans="2:22" ht="27" customHeight="1" thickBot="1" x14ac:dyDescent="0.2">
      <c r="B12" s="141" t="s">
        <v>153</v>
      </c>
      <c r="C12" s="142"/>
      <c r="D12" s="143"/>
      <c r="E12" s="86">
        <v>2</v>
      </c>
      <c r="F12" s="112" t="s">
        <v>174</v>
      </c>
      <c r="G12" s="109" t="s">
        <v>156</v>
      </c>
      <c r="H12" s="120"/>
      <c r="J12" s="89"/>
      <c r="K12" s="89"/>
      <c r="L12" s="89"/>
      <c r="M12" s="89"/>
      <c r="N12" s="89"/>
      <c r="O12" s="89"/>
      <c r="P12" s="89"/>
      <c r="Q12" s="89"/>
      <c r="R12" s="89"/>
      <c r="S12" s="89"/>
      <c r="T12" s="89"/>
      <c r="U12" s="89"/>
      <c r="V12" s="89"/>
    </row>
    <row r="13" spans="2:22" ht="27" customHeight="1" thickBot="1" x14ac:dyDescent="0.2">
      <c r="B13" s="90"/>
      <c r="C13" s="91"/>
      <c r="D13" s="91"/>
      <c r="E13" s="92"/>
      <c r="F13" s="113" t="s">
        <v>175</v>
      </c>
      <c r="G13" s="110" t="s">
        <v>147</v>
      </c>
      <c r="H13" s="120"/>
      <c r="J13" s="103"/>
      <c r="K13" s="103"/>
      <c r="L13" s="103"/>
      <c r="M13" s="103"/>
      <c r="N13" s="103"/>
      <c r="O13" s="103"/>
      <c r="P13" s="103"/>
      <c r="Q13" s="103"/>
      <c r="R13" s="103"/>
      <c r="S13" s="103"/>
      <c r="T13" s="103"/>
      <c r="U13" s="103"/>
      <c r="V13" s="103"/>
    </row>
    <row r="14" spans="2:22" ht="27" customHeight="1" x14ac:dyDescent="0.15">
      <c r="B14" s="37" t="s">
        <v>90</v>
      </c>
      <c r="C14" s="17"/>
      <c r="D14" s="17"/>
      <c r="E14" s="17"/>
      <c r="J14" s="48"/>
      <c r="K14" s="48"/>
      <c r="L14" s="48"/>
      <c r="M14" s="48"/>
      <c r="N14" s="48"/>
      <c r="O14" s="48"/>
      <c r="P14" s="48"/>
      <c r="Q14" s="48"/>
      <c r="R14" s="48"/>
      <c r="S14" s="48"/>
      <c r="T14" s="48"/>
      <c r="U14" s="48"/>
      <c r="V14" s="48"/>
    </row>
    <row r="15" spans="2:22" ht="24" customHeight="1" x14ac:dyDescent="0.15">
      <c r="B15" s="22" t="s">
        <v>91</v>
      </c>
      <c r="C15" s="17"/>
      <c r="D15" s="17"/>
      <c r="E15" s="16"/>
      <c r="J15" s="48"/>
      <c r="K15" s="48"/>
      <c r="L15" s="48"/>
      <c r="M15" s="48"/>
      <c r="N15" s="48"/>
      <c r="O15" s="48"/>
      <c r="P15" s="48"/>
      <c r="Q15" s="48"/>
      <c r="R15" s="48"/>
      <c r="S15" s="48"/>
      <c r="T15" s="48"/>
      <c r="U15" s="48"/>
      <c r="V15" s="48"/>
    </row>
    <row r="16" spans="2:22" ht="24" customHeight="1" thickBot="1" x14ac:dyDescent="0.2">
      <c r="B16" s="22" t="s">
        <v>180</v>
      </c>
      <c r="C16" s="17"/>
      <c r="D16" s="17"/>
      <c r="E16" s="16"/>
      <c r="J16" s="48"/>
      <c r="K16" s="48"/>
      <c r="L16" s="48"/>
      <c r="M16" s="48"/>
      <c r="N16" s="48"/>
      <c r="O16" s="48"/>
      <c r="P16" s="48"/>
      <c r="Q16" s="48"/>
      <c r="R16" s="48"/>
      <c r="S16" s="48"/>
      <c r="T16" s="48"/>
      <c r="U16" s="48"/>
      <c r="V16" s="48"/>
    </row>
    <row r="17" spans="2:22" ht="27" customHeight="1" thickBot="1" x14ac:dyDescent="0.2">
      <c r="B17" s="18" t="s">
        <v>34</v>
      </c>
      <c r="C17" s="139" t="s">
        <v>31</v>
      </c>
      <c r="D17" s="140"/>
      <c r="E17" s="19" t="s">
        <v>9</v>
      </c>
      <c r="F17" s="71" t="s">
        <v>10</v>
      </c>
      <c r="G17" s="21" t="s">
        <v>11</v>
      </c>
      <c r="H17" s="121"/>
    </row>
    <row r="18" spans="2:22" ht="27" customHeight="1" thickTop="1" x14ac:dyDescent="0.15">
      <c r="B18" s="14" t="s">
        <v>36</v>
      </c>
      <c r="C18" s="136" t="s">
        <v>76</v>
      </c>
      <c r="D18" s="137"/>
      <c r="E18" s="29">
        <v>4603200</v>
      </c>
      <c r="F18" s="72">
        <v>0</v>
      </c>
      <c r="G18" s="60"/>
      <c r="H18" s="122"/>
    </row>
    <row r="19" spans="2:22" ht="27" customHeight="1" x14ac:dyDescent="0.15">
      <c r="B19" s="2" t="s">
        <v>37</v>
      </c>
      <c r="C19" s="138" t="s">
        <v>4</v>
      </c>
      <c r="D19" s="10" t="s">
        <v>17</v>
      </c>
      <c r="E19" s="23" t="s">
        <v>65</v>
      </c>
      <c r="F19" s="73" t="s">
        <v>65</v>
      </c>
      <c r="G19" s="61" t="s">
        <v>65</v>
      </c>
      <c r="H19" s="123"/>
    </row>
    <row r="20" spans="2:22" ht="27" customHeight="1" x14ac:dyDescent="0.15">
      <c r="B20" s="2" t="s">
        <v>38</v>
      </c>
      <c r="C20" s="138"/>
      <c r="D20" s="10" t="s">
        <v>107</v>
      </c>
      <c r="E20" s="23" t="s">
        <v>65</v>
      </c>
      <c r="F20" s="73" t="s">
        <v>65</v>
      </c>
      <c r="G20" s="61" t="s">
        <v>65</v>
      </c>
      <c r="H20" s="123"/>
    </row>
    <row r="21" spans="2:22" ht="27" customHeight="1" x14ac:dyDescent="0.15">
      <c r="B21" s="2" t="s">
        <v>39</v>
      </c>
      <c r="C21" s="134" t="s">
        <v>5</v>
      </c>
      <c r="D21" s="135"/>
      <c r="E21" s="32">
        <v>27973</v>
      </c>
      <c r="F21" s="74">
        <v>28043</v>
      </c>
      <c r="G21" s="34">
        <v>38504</v>
      </c>
      <c r="H21" s="124"/>
    </row>
    <row r="22" spans="2:22" ht="27" customHeight="1" x14ac:dyDescent="0.15">
      <c r="B22" s="2" t="s">
        <v>40</v>
      </c>
      <c r="C22" s="167" t="s">
        <v>181</v>
      </c>
      <c r="D22" s="168"/>
      <c r="E22" s="23" t="s">
        <v>61</v>
      </c>
      <c r="F22" s="73" t="s">
        <v>61</v>
      </c>
      <c r="G22" s="61" t="s">
        <v>61</v>
      </c>
      <c r="H22" s="123"/>
    </row>
    <row r="23" spans="2:22" ht="27" customHeight="1" x14ac:dyDescent="0.15">
      <c r="B23" s="2" t="s">
        <v>42</v>
      </c>
      <c r="C23" s="136" t="s">
        <v>77</v>
      </c>
      <c r="D23" s="137"/>
      <c r="E23" s="29">
        <v>0</v>
      </c>
      <c r="F23" s="72">
        <v>0</v>
      </c>
      <c r="G23" s="60"/>
      <c r="H23" s="122"/>
    </row>
    <row r="24" spans="2:22" ht="27" customHeight="1" x14ac:dyDescent="0.15">
      <c r="B24" s="2" t="s">
        <v>44</v>
      </c>
      <c r="C24" s="136" t="s">
        <v>2</v>
      </c>
      <c r="D24" s="137"/>
      <c r="E24" s="23" t="s">
        <v>65</v>
      </c>
      <c r="F24" s="73" t="s">
        <v>65</v>
      </c>
      <c r="G24" s="61" t="s">
        <v>65</v>
      </c>
      <c r="H24" s="123"/>
    </row>
    <row r="25" spans="2:22" ht="27" customHeight="1" x14ac:dyDescent="0.15">
      <c r="B25" s="2" t="s">
        <v>45</v>
      </c>
      <c r="C25" s="138" t="s">
        <v>3</v>
      </c>
      <c r="D25" s="10" t="s">
        <v>78</v>
      </c>
      <c r="E25" s="26">
        <v>1</v>
      </c>
      <c r="F25" s="75">
        <v>0</v>
      </c>
      <c r="G25" s="62"/>
      <c r="H25" s="125"/>
    </row>
    <row r="26" spans="2:22" ht="27" customHeight="1" x14ac:dyDescent="0.15">
      <c r="B26" s="2" t="s">
        <v>46</v>
      </c>
      <c r="C26" s="138"/>
      <c r="D26" s="10" t="s">
        <v>79</v>
      </c>
      <c r="E26" s="26">
        <v>0</v>
      </c>
      <c r="F26" s="75">
        <v>0</v>
      </c>
      <c r="G26" s="62"/>
      <c r="H26" s="125"/>
      <c r="J26" s="158" t="s">
        <v>185</v>
      </c>
      <c r="K26" s="158"/>
      <c r="L26" s="158"/>
      <c r="M26" s="158"/>
      <c r="N26" s="158"/>
      <c r="O26" s="158"/>
      <c r="P26" s="158"/>
      <c r="Q26" s="158"/>
      <c r="R26" s="158"/>
      <c r="S26" s="158"/>
      <c r="T26" s="158"/>
      <c r="U26" s="158"/>
      <c r="V26" s="158"/>
    </row>
    <row r="27" spans="2:22" ht="27" customHeight="1" x14ac:dyDescent="0.15">
      <c r="B27" s="2" t="s">
        <v>47</v>
      </c>
      <c r="C27" s="138"/>
      <c r="D27" s="10" t="s">
        <v>80</v>
      </c>
      <c r="E27" s="26">
        <v>0</v>
      </c>
      <c r="F27" s="75">
        <v>0</v>
      </c>
      <c r="G27" s="62"/>
      <c r="H27" s="125"/>
      <c r="J27" s="158"/>
      <c r="K27" s="158"/>
      <c r="L27" s="158"/>
      <c r="M27" s="158"/>
      <c r="N27" s="158"/>
      <c r="O27" s="158"/>
      <c r="P27" s="158"/>
      <c r="Q27" s="158"/>
      <c r="R27" s="158"/>
      <c r="S27" s="158"/>
      <c r="T27" s="158"/>
      <c r="U27" s="158"/>
      <c r="V27" s="158"/>
    </row>
    <row r="28" spans="2:22" ht="27" customHeight="1" x14ac:dyDescent="0.15">
      <c r="B28" s="2" t="s">
        <v>48</v>
      </c>
      <c r="C28" s="136" t="s">
        <v>81</v>
      </c>
      <c r="D28" s="137"/>
      <c r="E28" s="26">
        <v>1</v>
      </c>
      <c r="F28" s="75">
        <v>0</v>
      </c>
      <c r="G28" s="62"/>
      <c r="H28" s="125"/>
      <c r="J28" s="158"/>
      <c r="K28" s="158"/>
      <c r="L28" s="158"/>
      <c r="M28" s="158"/>
      <c r="N28" s="158"/>
      <c r="O28" s="158"/>
      <c r="P28" s="158"/>
      <c r="Q28" s="158"/>
      <c r="R28" s="158"/>
      <c r="S28" s="158"/>
      <c r="T28" s="158"/>
      <c r="U28" s="158"/>
      <c r="V28" s="158"/>
    </row>
    <row r="29" spans="2:22" ht="27" customHeight="1" x14ac:dyDescent="0.15">
      <c r="B29" s="2" t="s">
        <v>51</v>
      </c>
      <c r="C29" s="136" t="s">
        <v>82</v>
      </c>
      <c r="D29" s="137"/>
      <c r="E29" s="29">
        <v>2597000</v>
      </c>
      <c r="F29" s="72">
        <v>0</v>
      </c>
      <c r="G29" s="60"/>
      <c r="H29" s="122"/>
      <c r="J29" s="158"/>
      <c r="K29" s="158"/>
      <c r="L29" s="158"/>
      <c r="M29" s="158"/>
      <c r="N29" s="158"/>
      <c r="O29" s="158"/>
      <c r="P29" s="158"/>
      <c r="Q29" s="158"/>
      <c r="R29" s="158"/>
      <c r="S29" s="158"/>
      <c r="T29" s="158"/>
      <c r="U29" s="158"/>
      <c r="V29" s="158"/>
    </row>
    <row r="30" spans="2:22" ht="27" customHeight="1" x14ac:dyDescent="0.15">
      <c r="B30" s="2" t="s">
        <v>53</v>
      </c>
      <c r="C30" s="136" t="s">
        <v>83</v>
      </c>
      <c r="D30" s="137"/>
      <c r="E30" s="29">
        <v>1500</v>
      </c>
      <c r="F30" s="72">
        <v>0</v>
      </c>
      <c r="G30" s="60"/>
      <c r="H30" s="122"/>
      <c r="J30" s="158"/>
      <c r="K30" s="158"/>
      <c r="L30" s="158"/>
      <c r="M30" s="158"/>
      <c r="N30" s="158"/>
      <c r="O30" s="158"/>
      <c r="P30" s="158"/>
      <c r="Q30" s="158"/>
      <c r="R30" s="158"/>
      <c r="S30" s="158"/>
      <c r="T30" s="158"/>
      <c r="U30" s="158"/>
      <c r="V30" s="158"/>
    </row>
    <row r="31" spans="2:22" ht="27" customHeight="1" x14ac:dyDescent="0.15">
      <c r="B31" s="2" t="s">
        <v>53</v>
      </c>
      <c r="C31" s="136" t="s">
        <v>137</v>
      </c>
      <c r="D31" s="137"/>
      <c r="E31" s="29"/>
      <c r="F31" s="115"/>
      <c r="G31" s="60"/>
      <c r="H31" s="122"/>
      <c r="J31" s="158"/>
      <c r="K31" s="158"/>
      <c r="L31" s="158"/>
      <c r="M31" s="158"/>
      <c r="N31" s="158"/>
      <c r="O31" s="158"/>
      <c r="P31" s="158"/>
      <c r="Q31" s="158"/>
      <c r="R31" s="158"/>
      <c r="S31" s="158"/>
      <c r="T31" s="158"/>
      <c r="U31" s="158"/>
      <c r="V31" s="158"/>
    </row>
    <row r="32" spans="2:22" ht="27" customHeight="1" x14ac:dyDescent="0.15">
      <c r="B32" s="2" t="s">
        <v>54</v>
      </c>
      <c r="C32" s="136" t="s">
        <v>7</v>
      </c>
      <c r="D32" s="137"/>
      <c r="E32" s="23" t="s">
        <v>63</v>
      </c>
      <c r="F32" s="76" t="s">
        <v>63</v>
      </c>
      <c r="G32" s="60"/>
      <c r="H32" s="122"/>
      <c r="J32" s="158"/>
      <c r="K32" s="158"/>
      <c r="L32" s="158"/>
      <c r="M32" s="158"/>
      <c r="N32" s="158"/>
      <c r="O32" s="158"/>
      <c r="P32" s="158"/>
      <c r="Q32" s="158"/>
      <c r="R32" s="158"/>
      <c r="S32" s="158"/>
      <c r="T32" s="158"/>
      <c r="U32" s="158"/>
      <c r="V32" s="158"/>
    </row>
    <row r="33" spans="2:22" ht="27" hidden="1" customHeight="1" thickBot="1" x14ac:dyDescent="0.2">
      <c r="B33" s="50">
        <v>4</v>
      </c>
      <c r="C33" s="151" t="s">
        <v>109</v>
      </c>
      <c r="D33" s="152"/>
      <c r="E33" s="53">
        <v>2</v>
      </c>
      <c r="F33" s="77">
        <v>0</v>
      </c>
      <c r="G33" s="63" t="s">
        <v>63</v>
      </c>
      <c r="H33" s="123"/>
      <c r="J33" s="158"/>
      <c r="K33" s="158"/>
      <c r="L33" s="158"/>
      <c r="M33" s="158"/>
      <c r="N33" s="158"/>
      <c r="O33" s="158"/>
      <c r="P33" s="158"/>
      <c r="Q33" s="158"/>
      <c r="R33" s="158"/>
      <c r="S33" s="158"/>
      <c r="T33" s="158"/>
      <c r="U33" s="158"/>
      <c r="V33" s="158"/>
    </row>
    <row r="34" spans="2:22" ht="27" customHeight="1" x14ac:dyDescent="0.15">
      <c r="B34" s="2" t="s">
        <v>41</v>
      </c>
      <c r="C34" s="150" t="s">
        <v>35</v>
      </c>
      <c r="D34" s="135"/>
      <c r="E34" s="8">
        <v>0</v>
      </c>
      <c r="F34" s="78">
        <v>0</v>
      </c>
      <c r="G34" s="64">
        <v>0</v>
      </c>
      <c r="H34" s="122"/>
      <c r="J34" s="158"/>
      <c r="K34" s="158"/>
      <c r="L34" s="158"/>
      <c r="M34" s="158"/>
      <c r="N34" s="158"/>
      <c r="O34" s="158"/>
      <c r="P34" s="158"/>
      <c r="Q34" s="158"/>
      <c r="R34" s="158"/>
      <c r="S34" s="158"/>
      <c r="T34" s="158"/>
      <c r="U34" s="158"/>
      <c r="V34" s="158"/>
    </row>
    <row r="35" spans="2:22" ht="27" customHeight="1" x14ac:dyDescent="0.15">
      <c r="B35" s="2" t="s">
        <v>43</v>
      </c>
      <c r="C35" s="134" t="s">
        <v>84</v>
      </c>
      <c r="D35" s="135"/>
      <c r="E35" s="8">
        <v>4603200</v>
      </c>
      <c r="F35" s="78">
        <v>0</v>
      </c>
      <c r="G35" s="64">
        <v>0</v>
      </c>
      <c r="H35" s="122"/>
      <c r="J35" s="158"/>
      <c r="K35" s="158"/>
      <c r="L35" s="158"/>
      <c r="M35" s="158"/>
      <c r="N35" s="158"/>
      <c r="O35" s="158"/>
      <c r="P35" s="158"/>
      <c r="Q35" s="158"/>
      <c r="R35" s="158"/>
      <c r="S35" s="158"/>
      <c r="T35" s="158"/>
      <c r="U35" s="158"/>
      <c r="V35" s="158"/>
    </row>
    <row r="36" spans="2:22" ht="27" customHeight="1" x14ac:dyDescent="0.15">
      <c r="B36" s="2" t="s">
        <v>49</v>
      </c>
      <c r="C36" s="136" t="s">
        <v>85</v>
      </c>
      <c r="D36" s="137"/>
      <c r="E36" s="11">
        <v>2</v>
      </c>
      <c r="F36" s="79">
        <v>0</v>
      </c>
      <c r="G36" s="65">
        <v>0</v>
      </c>
      <c r="H36" s="126"/>
      <c r="I36" s="12"/>
      <c r="J36" s="158"/>
      <c r="K36" s="158"/>
      <c r="L36" s="158"/>
      <c r="M36" s="158"/>
      <c r="N36" s="158"/>
      <c r="O36" s="158"/>
      <c r="P36" s="158"/>
      <c r="Q36" s="158"/>
      <c r="R36" s="158"/>
      <c r="S36" s="158"/>
      <c r="T36" s="158"/>
      <c r="U36" s="158"/>
      <c r="V36" s="158"/>
    </row>
    <row r="37" spans="2:22" ht="27" customHeight="1" x14ac:dyDescent="0.15">
      <c r="B37" s="2" t="s">
        <v>50</v>
      </c>
      <c r="C37" s="138" t="s">
        <v>86</v>
      </c>
      <c r="D37" s="137"/>
      <c r="E37" s="9">
        <v>1470000</v>
      </c>
      <c r="F37" s="72">
        <v>350000</v>
      </c>
      <c r="G37" s="60">
        <v>0</v>
      </c>
      <c r="H37" s="122"/>
      <c r="J37" s="158"/>
      <c r="K37" s="158"/>
      <c r="L37" s="158"/>
      <c r="M37" s="158"/>
      <c r="N37" s="158"/>
      <c r="O37" s="158"/>
      <c r="P37" s="158"/>
      <c r="Q37" s="158"/>
      <c r="R37" s="158"/>
      <c r="S37" s="158"/>
      <c r="T37" s="158"/>
      <c r="U37" s="158"/>
      <c r="V37" s="158"/>
    </row>
    <row r="38" spans="2:22" ht="27" customHeight="1" thickBot="1" x14ac:dyDescent="0.2">
      <c r="B38" s="7" t="s">
        <v>55</v>
      </c>
      <c r="C38" s="161" t="s">
        <v>177</v>
      </c>
      <c r="D38" s="162"/>
      <c r="E38" s="38">
        <v>154300</v>
      </c>
      <c r="F38" s="80">
        <v>0</v>
      </c>
      <c r="G38" s="66">
        <v>0</v>
      </c>
      <c r="H38" s="122"/>
      <c r="J38" s="158"/>
      <c r="K38" s="158"/>
      <c r="L38" s="158"/>
      <c r="M38" s="158"/>
      <c r="N38" s="158"/>
      <c r="O38" s="158"/>
      <c r="P38" s="158"/>
      <c r="Q38" s="158"/>
      <c r="R38" s="158"/>
      <c r="S38" s="158"/>
      <c r="T38" s="158"/>
      <c r="U38" s="158"/>
      <c r="V38" s="158"/>
    </row>
    <row r="39" spans="2:22" ht="27" customHeight="1" thickTop="1" thickBot="1" x14ac:dyDescent="0.2">
      <c r="B39" s="50">
        <v>4</v>
      </c>
      <c r="C39" s="159" t="s">
        <v>178</v>
      </c>
      <c r="D39" s="154"/>
      <c r="E39" s="155">
        <v>114300</v>
      </c>
      <c r="F39" s="156"/>
      <c r="G39" s="157"/>
      <c r="H39" s="127"/>
      <c r="J39" s="158"/>
      <c r="K39" s="158"/>
      <c r="L39" s="158"/>
      <c r="M39" s="158"/>
      <c r="N39" s="158"/>
      <c r="O39" s="158"/>
      <c r="P39" s="158"/>
      <c r="Q39" s="158"/>
      <c r="R39" s="158"/>
      <c r="S39" s="158"/>
      <c r="T39" s="158"/>
      <c r="U39" s="158"/>
      <c r="V39" s="158"/>
    </row>
    <row r="40" spans="2:22" ht="27" customHeight="1" thickTop="1" thickBot="1" x14ac:dyDescent="0.2">
      <c r="B40" s="39"/>
      <c r="C40" s="163" t="s">
        <v>179</v>
      </c>
      <c r="D40" s="149"/>
      <c r="E40" s="164" t="s">
        <v>134</v>
      </c>
      <c r="F40" s="165"/>
      <c r="G40" s="166"/>
      <c r="H40" s="17"/>
      <c r="I40" s="15"/>
      <c r="J40" s="158"/>
      <c r="K40" s="158"/>
      <c r="L40" s="158"/>
      <c r="M40" s="158"/>
      <c r="N40" s="158"/>
      <c r="O40" s="158"/>
      <c r="P40" s="158"/>
      <c r="Q40" s="158"/>
      <c r="R40" s="158"/>
      <c r="S40" s="158"/>
      <c r="T40" s="158"/>
      <c r="U40" s="158"/>
      <c r="V40" s="158"/>
    </row>
    <row r="41" spans="2:22" x14ac:dyDescent="0.15">
      <c r="J41" s="158"/>
      <c r="K41" s="158"/>
      <c r="L41" s="158"/>
      <c r="M41" s="158"/>
      <c r="N41" s="158"/>
      <c r="O41" s="158"/>
      <c r="P41" s="158"/>
      <c r="Q41" s="158"/>
      <c r="R41" s="158"/>
      <c r="S41" s="158"/>
      <c r="T41" s="158"/>
      <c r="U41" s="158"/>
      <c r="V41" s="158"/>
    </row>
  </sheetData>
  <sheetProtection password="FE18" sheet="1" objects="1" scenarios="1"/>
  <protectedRanges>
    <protectedRange sqref="E30 F32:F33 E32:E33" name="範囲2"/>
    <protectedRange sqref="E10:E13" name="範囲1_4"/>
    <protectedRange sqref="G10:H11" name="範囲3"/>
    <protectedRange sqref="E31:H31" name="範囲2_1"/>
  </protectedRanges>
  <mergeCells count="30">
    <mergeCell ref="C28:D28"/>
    <mergeCell ref="C29:D29"/>
    <mergeCell ref="C30:D30"/>
    <mergeCell ref="C32:D32"/>
    <mergeCell ref="C33:D33"/>
    <mergeCell ref="C31:D31"/>
    <mergeCell ref="C19:C20"/>
    <mergeCell ref="B8:D8"/>
    <mergeCell ref="B9:D9"/>
    <mergeCell ref="B11:D11"/>
    <mergeCell ref="C17:D17"/>
    <mergeCell ref="C18:D18"/>
    <mergeCell ref="B10:D10"/>
    <mergeCell ref="B12:D12"/>
    <mergeCell ref="J26:V41"/>
    <mergeCell ref="C39:D39"/>
    <mergeCell ref="E39:G39"/>
    <mergeCell ref="J5:V11"/>
    <mergeCell ref="C36:D36"/>
    <mergeCell ref="C37:D37"/>
    <mergeCell ref="C38:D38"/>
    <mergeCell ref="C40:D40"/>
    <mergeCell ref="E40:G40"/>
    <mergeCell ref="C35:D35"/>
    <mergeCell ref="C21:D21"/>
    <mergeCell ref="C22:D22"/>
    <mergeCell ref="C23:D23"/>
    <mergeCell ref="C24:D24"/>
    <mergeCell ref="C25:C27"/>
    <mergeCell ref="C34:D34"/>
  </mergeCells>
  <phoneticPr fontId="1"/>
  <dataValidations count="1">
    <dataValidation type="whole" allowBlank="1" showInputMessage="1" showErrorMessage="1" sqref="E12:E13">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0" man="1"/>
  </colBreaks>
  <drawing r:id="rId2"/>
  <extLst>
    <ext xmlns:x14="http://schemas.microsoft.com/office/spreadsheetml/2009/9/main" uri="{78C0D931-6437-407d-A8EE-F0AAD7539E65}">
      <x14:conditionalFormattings>
        <x14:conditionalFormatting xmlns:xm="http://schemas.microsoft.com/office/excel/2006/main">
          <x14:cfRule type="expression" priority="24" id="{9E593285-F7B1-4D58-A2CA-2538A5B6390A}">
            <xm:f>計算シート!$B$2=3</xm:f>
            <x14:dxf>
              <fill>
                <patternFill>
                  <bgColor theme="1"/>
                </patternFill>
              </fill>
            </x14:dxf>
          </x14:cfRule>
          <xm:sqref>E17:F29 E34:F38 F30</xm:sqref>
        </x14:conditionalFormatting>
        <x14:conditionalFormatting xmlns:xm="http://schemas.microsoft.com/office/excel/2006/main">
          <x14:cfRule type="expression" priority="23" id="{D183E929-F027-4931-8E84-DFE59E4C8485}">
            <xm:f>計算シート!$B$2=2</xm:f>
            <x14:dxf>
              <fill>
                <patternFill>
                  <bgColor theme="1"/>
                </patternFill>
              </fill>
            </x14:dxf>
          </x14:cfRule>
          <xm:sqref>F17:F30 F34:F38</xm:sqref>
        </x14:conditionalFormatting>
        <x14:conditionalFormatting xmlns:xm="http://schemas.microsoft.com/office/excel/2006/main">
          <x14:cfRule type="expression" priority="22" id="{81EBBC7B-4231-4D4F-9859-18074803200F}">
            <xm:f>計算シート!$B$2=3</xm:f>
            <x14:dxf>
              <fill>
                <patternFill>
                  <bgColor theme="1"/>
                </patternFill>
              </fill>
            </x14:dxf>
          </x14:cfRule>
          <xm:sqref>G36:H36</xm:sqref>
        </x14:conditionalFormatting>
        <x14:conditionalFormatting xmlns:xm="http://schemas.microsoft.com/office/excel/2006/main">
          <x14:cfRule type="expression" priority="19" id="{E5DE7C8E-A667-4291-8B69-95158A2169AE}">
            <xm:f>計算シート!$B$2=3</xm:f>
            <x14:dxf>
              <fill>
                <patternFill>
                  <bgColor theme="1"/>
                </patternFill>
              </fill>
            </x14:dxf>
          </x14:cfRule>
          <xm:sqref>E30 E32:E33</xm:sqref>
        </x14:conditionalFormatting>
        <x14:conditionalFormatting xmlns:xm="http://schemas.microsoft.com/office/excel/2006/main">
          <x14:cfRule type="expression" priority="18"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17" id="{9349B5A1-D7F6-439A-8782-D01F9F0DD8EE}">
            <xm:f>計算シート!$B$2=3</xm:f>
            <x14:dxf>
              <fill>
                <patternFill>
                  <bgColor theme="1"/>
                </patternFill>
              </fill>
            </x14:dxf>
          </x14:cfRule>
          <xm:sqref>F33</xm:sqref>
        </x14:conditionalFormatting>
        <x14:conditionalFormatting xmlns:xm="http://schemas.microsoft.com/office/excel/2006/main">
          <x14:cfRule type="expression" priority="16" id="{1BE77D9E-2DB3-44FC-B0AA-497046FA82A5}">
            <xm:f>計算シート!$B$2=3</xm:f>
            <x14:dxf>
              <fill>
                <patternFill>
                  <bgColor theme="1"/>
                </patternFill>
              </fill>
            </x14:dxf>
          </x14:cfRule>
          <xm:sqref>F32</xm:sqref>
        </x14:conditionalFormatting>
        <x14:conditionalFormatting xmlns:xm="http://schemas.microsoft.com/office/excel/2006/main">
          <x14:cfRule type="expression" priority="4" id="{92A673A1-EC7A-4782-B579-848B454DF1DF}">
            <xm:f>計算シート!$B$2=3</xm:f>
            <x14:dxf>
              <fill>
                <patternFill>
                  <bgColor theme="1"/>
                </patternFill>
              </fill>
            </x14:dxf>
          </x14:cfRule>
          <xm:sqref>E31:F31</xm:sqref>
        </x14:conditionalFormatting>
        <x14:conditionalFormatting xmlns:xm="http://schemas.microsoft.com/office/excel/2006/main">
          <x14:cfRule type="expression" priority="3" id="{A33508F1-FF94-408C-ACD6-8CF789D6F5DC}">
            <xm:f>計算シート!$B$2=2</xm:f>
            <x14:dxf>
              <fill>
                <patternFill>
                  <bgColor theme="1"/>
                </patternFill>
              </fill>
            </x14:dxf>
          </x14:cfRule>
          <xm:sqref>F31</xm:sqref>
        </x14:conditionalFormatting>
        <x14:conditionalFormatting xmlns:xm="http://schemas.microsoft.com/office/excel/2006/main">
          <x14:cfRule type="expression" priority="2"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1" id="{1882AE0E-3637-437F-8457-39CEDBFAAE9E}">
            <xm:f>計算シート!$B$4&lt;4</xm:f>
            <x14:dxf>
              <font>
                <color theme="1"/>
              </font>
              <fill>
                <patternFill>
                  <bgColor theme="1"/>
                </patternFill>
              </fill>
            </x14:dxf>
          </x14:cfRule>
          <xm:sqref>B31:H31</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リストボックス!$G$2:$G$3</xm:f>
          </x14:formula1>
          <xm:sqref>E32:F32</xm:sqref>
        </x14:dataValidation>
        <x14:dataValidation type="list" allowBlank="1" showInputMessage="1" showErrorMessage="1">
          <x14:formula1>
            <xm:f>リストボックス!$A$2:$A$4</xm:f>
          </x14:formula1>
          <xm:sqref>E11</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14:formula1>
            <xm:f>リストボックス!$Y$7</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workbookViewId="0">
      <selection activeCell="C12" sqref="C12"/>
    </sheetView>
  </sheetViews>
  <sheetFormatPr defaultRowHeight="13.5" x14ac:dyDescent="0.15"/>
  <cols>
    <col min="21" max="21" width="14.5" style="82" customWidth="1"/>
  </cols>
  <sheetData>
    <row r="1" spans="1:29" x14ac:dyDescent="0.15">
      <c r="A1" t="s">
        <v>19</v>
      </c>
      <c r="B1" t="s">
        <v>56</v>
      </c>
      <c r="C1" t="s">
        <v>14</v>
      </c>
      <c r="D1" t="s">
        <v>56</v>
      </c>
      <c r="E1" t="s">
        <v>6</v>
      </c>
      <c r="F1" t="s">
        <v>56</v>
      </c>
      <c r="G1" t="s">
        <v>15</v>
      </c>
      <c r="H1" t="s">
        <v>56</v>
      </c>
      <c r="I1" t="s">
        <v>2</v>
      </c>
      <c r="J1" t="s">
        <v>56</v>
      </c>
      <c r="K1" t="s">
        <v>16</v>
      </c>
      <c r="L1" t="s">
        <v>56</v>
      </c>
      <c r="M1" t="s">
        <v>18</v>
      </c>
      <c r="N1" t="s">
        <v>56</v>
      </c>
      <c r="O1" t="s">
        <v>115</v>
      </c>
      <c r="P1" t="s">
        <v>116</v>
      </c>
      <c r="Q1" t="s">
        <v>119</v>
      </c>
      <c r="R1" t="s">
        <v>56</v>
      </c>
      <c r="S1" t="s">
        <v>128</v>
      </c>
      <c r="T1" t="s">
        <v>129</v>
      </c>
      <c r="U1" s="82" t="s">
        <v>167</v>
      </c>
      <c r="W1" t="s">
        <v>145</v>
      </c>
      <c r="Y1" t="s">
        <v>154</v>
      </c>
      <c r="Z1" t="s">
        <v>155</v>
      </c>
      <c r="AB1" t="s">
        <v>164</v>
      </c>
    </row>
    <row r="2" spans="1:29" x14ac:dyDescent="0.15">
      <c r="A2">
        <v>2</v>
      </c>
      <c r="B2">
        <v>1</v>
      </c>
      <c r="C2" t="s">
        <v>58</v>
      </c>
      <c r="D2">
        <v>1</v>
      </c>
      <c r="E2" t="s">
        <v>61</v>
      </c>
      <c r="F2">
        <v>0</v>
      </c>
      <c r="G2" t="s">
        <v>63</v>
      </c>
      <c r="H2">
        <v>0</v>
      </c>
      <c r="I2" t="s">
        <v>65</v>
      </c>
      <c r="J2">
        <v>0</v>
      </c>
      <c r="K2" t="s">
        <v>65</v>
      </c>
      <c r="L2">
        <v>0</v>
      </c>
      <c r="M2" t="s">
        <v>65</v>
      </c>
      <c r="N2">
        <v>0</v>
      </c>
      <c r="O2" t="s">
        <v>117</v>
      </c>
      <c r="P2">
        <v>1</v>
      </c>
      <c r="Q2" t="s">
        <v>121</v>
      </c>
      <c r="R2">
        <v>1</v>
      </c>
      <c r="S2" t="s">
        <v>131</v>
      </c>
      <c r="T2">
        <v>1</v>
      </c>
      <c r="U2" s="82" t="s">
        <v>168</v>
      </c>
      <c r="V2">
        <v>1</v>
      </c>
      <c r="W2" t="s">
        <v>146</v>
      </c>
      <c r="X2">
        <v>1</v>
      </c>
      <c r="Y2">
        <v>2019</v>
      </c>
      <c r="Z2" t="s">
        <v>156</v>
      </c>
      <c r="AA2">
        <v>1</v>
      </c>
      <c r="AB2" t="s">
        <v>165</v>
      </c>
      <c r="AC2">
        <v>1</v>
      </c>
    </row>
    <row r="3" spans="1:29" x14ac:dyDescent="0.15">
      <c r="A3">
        <v>1</v>
      </c>
      <c r="B3">
        <v>2</v>
      </c>
      <c r="C3" t="s">
        <v>59</v>
      </c>
      <c r="D3">
        <v>3</v>
      </c>
      <c r="E3" t="s">
        <v>62</v>
      </c>
      <c r="F3">
        <v>1</v>
      </c>
      <c r="G3" t="s">
        <v>64</v>
      </c>
      <c r="H3">
        <v>1</v>
      </c>
      <c r="I3" t="s">
        <v>66</v>
      </c>
      <c r="J3">
        <v>1</v>
      </c>
      <c r="K3" t="s">
        <v>69</v>
      </c>
      <c r="L3">
        <v>1</v>
      </c>
      <c r="M3" t="s">
        <v>72</v>
      </c>
      <c r="N3">
        <v>1</v>
      </c>
      <c r="O3" t="s">
        <v>118</v>
      </c>
      <c r="P3">
        <v>2</v>
      </c>
      <c r="Q3" t="s">
        <v>122</v>
      </c>
      <c r="R3">
        <v>2</v>
      </c>
      <c r="S3" t="s">
        <v>132</v>
      </c>
      <c r="T3">
        <v>2</v>
      </c>
      <c r="U3" s="82" t="s">
        <v>169</v>
      </c>
      <c r="V3">
        <v>2</v>
      </c>
      <c r="W3" t="s">
        <v>147</v>
      </c>
      <c r="X3">
        <v>2</v>
      </c>
      <c r="Y3">
        <v>2020</v>
      </c>
      <c r="Z3" t="s">
        <v>157</v>
      </c>
      <c r="AA3">
        <v>2</v>
      </c>
      <c r="AB3" t="s">
        <v>166</v>
      </c>
      <c r="AC3">
        <v>2</v>
      </c>
    </row>
    <row r="4" spans="1:29" x14ac:dyDescent="0.15">
      <c r="A4" t="s">
        <v>57</v>
      </c>
      <c r="B4">
        <v>3</v>
      </c>
      <c r="C4" t="s">
        <v>60</v>
      </c>
      <c r="D4">
        <v>4</v>
      </c>
      <c r="I4" t="s">
        <v>67</v>
      </c>
      <c r="J4">
        <v>2</v>
      </c>
      <c r="K4" t="s">
        <v>70</v>
      </c>
      <c r="L4">
        <v>2</v>
      </c>
      <c r="M4" t="s">
        <v>73</v>
      </c>
      <c r="N4">
        <v>2</v>
      </c>
      <c r="O4" t="s">
        <v>120</v>
      </c>
      <c r="P4">
        <v>3</v>
      </c>
      <c r="S4" t="s">
        <v>130</v>
      </c>
      <c r="T4">
        <v>0</v>
      </c>
      <c r="Y4">
        <v>2021</v>
      </c>
    </row>
    <row r="5" spans="1:29" x14ac:dyDescent="0.15">
      <c r="C5" t="s">
        <v>88</v>
      </c>
      <c r="D5">
        <v>5</v>
      </c>
      <c r="I5" t="s">
        <v>68</v>
      </c>
      <c r="J5">
        <v>3</v>
      </c>
      <c r="K5" t="s">
        <v>71</v>
      </c>
      <c r="L5">
        <v>3</v>
      </c>
      <c r="M5" t="s">
        <v>74</v>
      </c>
      <c r="N5">
        <v>3</v>
      </c>
      <c r="O5" t="s">
        <v>136</v>
      </c>
      <c r="P5">
        <v>4</v>
      </c>
      <c r="Y5">
        <v>2022</v>
      </c>
    </row>
    <row r="6" spans="1:29" x14ac:dyDescent="0.15">
      <c r="C6" t="s">
        <v>97</v>
      </c>
      <c r="D6">
        <v>2</v>
      </c>
      <c r="M6" t="s">
        <v>99</v>
      </c>
      <c r="N6">
        <v>4</v>
      </c>
      <c r="Y6">
        <v>2023</v>
      </c>
    </row>
    <row r="7" spans="1:29" x14ac:dyDescent="0.15">
      <c r="Y7">
        <v>2024</v>
      </c>
    </row>
    <row r="8" spans="1:29" x14ac:dyDescent="0.15">
      <c r="Y8">
        <v>2025</v>
      </c>
    </row>
    <row r="9" spans="1:29" x14ac:dyDescent="0.15">
      <c r="Y9">
        <v>2026</v>
      </c>
    </row>
    <row r="10" spans="1:29" x14ac:dyDescent="0.15">
      <c r="Y10">
        <v>2027</v>
      </c>
    </row>
    <row r="11" spans="1:29" x14ac:dyDescent="0.15">
      <c r="Y11">
        <v>2028</v>
      </c>
    </row>
    <row r="12" spans="1:29" x14ac:dyDescent="0.15">
      <c r="Y12">
        <v>2029</v>
      </c>
    </row>
    <row r="13" spans="1:29" x14ac:dyDescent="0.15">
      <c r="Y13">
        <v>2030</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C12" sqref="C12"/>
    </sheetView>
  </sheetViews>
  <sheetFormatPr defaultRowHeight="13.5" x14ac:dyDescent="0.15"/>
  <cols>
    <col min="1" max="1" width="32.875" bestFit="1" customWidth="1"/>
    <col min="2" max="3" width="12.375" bestFit="1" customWidth="1"/>
    <col min="4" max="4" width="14.5" customWidth="1"/>
  </cols>
  <sheetData>
    <row r="1" spans="1:5" x14ac:dyDescent="0.15">
      <c r="B1" t="s">
        <v>9</v>
      </c>
      <c r="C1" t="s">
        <v>10</v>
      </c>
      <c r="D1" t="s">
        <v>13</v>
      </c>
      <c r="E1" t="s">
        <v>151</v>
      </c>
    </row>
    <row r="2" spans="1:5" x14ac:dyDescent="0.15">
      <c r="A2" t="s">
        <v>32</v>
      </c>
      <c r="B2">
        <f>VLOOKUP(入力シート!E11,リストボックス!A1:B4,2,0)</f>
        <v>1</v>
      </c>
    </row>
    <row r="3" spans="1:5" x14ac:dyDescent="0.15">
      <c r="A3" t="s">
        <v>30</v>
      </c>
      <c r="B3">
        <f>VLOOKUP(入力シート!E9,リストボックス!C2:D6,2,0)</f>
        <v>5</v>
      </c>
    </row>
    <row r="4" spans="1:5" x14ac:dyDescent="0.15">
      <c r="A4" s="56" t="s">
        <v>126</v>
      </c>
      <c r="B4" s="67">
        <f>VLOOKUP(入力シート!E10,リストボックス!O1:P5,2,0)</f>
        <v>4</v>
      </c>
    </row>
    <row r="5" spans="1:5" x14ac:dyDescent="0.15">
      <c r="A5" s="67" t="s">
        <v>127</v>
      </c>
      <c r="B5" s="67">
        <f>IFERROR(VLOOKUP(入力シート!G10,リストボックス!Q1:R3,2,0),0)</f>
        <v>1</v>
      </c>
    </row>
    <row r="6" spans="1:5" x14ac:dyDescent="0.15">
      <c r="A6" s="67" t="s">
        <v>133</v>
      </c>
      <c r="B6" s="67">
        <f>IFERROR(VLOOKUP(入力シート!G11,リストボックス!S1:T4,2,0),0)</f>
        <v>1</v>
      </c>
    </row>
    <row r="7" spans="1:5" x14ac:dyDescent="0.15">
      <c r="A7" t="s">
        <v>75</v>
      </c>
      <c r="B7" s="1">
        <f>DATE(入力シート!E8,4,1)</f>
        <v>45383</v>
      </c>
    </row>
    <row r="8" spans="1:5" x14ac:dyDescent="0.15">
      <c r="A8" t="s">
        <v>20</v>
      </c>
      <c r="B8" s="1">
        <f>IF(B3=3,DATE(YEAR(B7)-1,1,1),DATE(YEAR(B7),1,1))</f>
        <v>45292</v>
      </c>
    </row>
    <row r="9" spans="1:5" x14ac:dyDescent="0.15">
      <c r="A9" t="s">
        <v>12</v>
      </c>
      <c r="B9">
        <f>DATEDIF(入力シート!E21,$B$8,"y")</f>
        <v>124</v>
      </c>
      <c r="C9">
        <f>DATEDIF(入力シート!F21,$B$8,"y")</f>
        <v>124</v>
      </c>
      <c r="D9">
        <f>DATEDIF(入力シート!G21,$B$8,"y")</f>
        <v>124</v>
      </c>
    </row>
    <row r="10" spans="1:5" x14ac:dyDescent="0.15">
      <c r="A10" t="s">
        <v>6</v>
      </c>
      <c r="B10">
        <f>VLOOKUP(入力シート!E22,リストボックス!$E$1:$F$3,2,0)</f>
        <v>0</v>
      </c>
      <c r="C10">
        <f>VLOOKUP(入力シート!F22,リストボックス!$E$1:$F$3,2,0)</f>
        <v>0</v>
      </c>
      <c r="D10">
        <f>VLOOKUP(入力シート!G22,リストボックス!$E$1:$F$3,2,0)</f>
        <v>0</v>
      </c>
    </row>
    <row r="11" spans="1:5" x14ac:dyDescent="0.15">
      <c r="A11" t="s">
        <v>21</v>
      </c>
      <c r="B11">
        <f>VLOOKUP(入力シート!E32,リストボックス!$G$1:$H$3,2,0)</f>
        <v>0</v>
      </c>
      <c r="C11">
        <f>VLOOKUP(入力シート!F32,リストボックス!$G$1:$H$3,2,0)</f>
        <v>0</v>
      </c>
      <c r="D11">
        <f>VLOOKUP(入力シート!G32,リストボックス!$G$1:$H$3,2,0)</f>
        <v>0</v>
      </c>
    </row>
    <row r="12" spans="1:5" x14ac:dyDescent="0.15">
      <c r="A12" t="s">
        <v>0</v>
      </c>
      <c r="B12">
        <f>入力シート!E18</f>
        <v>0</v>
      </c>
      <c r="C12">
        <f>入力シート!F18</f>
        <v>0</v>
      </c>
      <c r="D12">
        <f>入力シート!G18</f>
        <v>0</v>
      </c>
    </row>
    <row r="13" spans="1:5" x14ac:dyDescent="0.15">
      <c r="A13" t="s">
        <v>1</v>
      </c>
      <c r="B13">
        <f>入力シート!E18-入力シート!E23</f>
        <v>0</v>
      </c>
      <c r="C13">
        <f>入力シート!F18-入力シート!F23</f>
        <v>0</v>
      </c>
      <c r="D13">
        <f>入力シート!G18-入力シート!G23</f>
        <v>0</v>
      </c>
    </row>
    <row r="14" spans="1:5" x14ac:dyDescent="0.15">
      <c r="A14" t="s">
        <v>22</v>
      </c>
      <c r="B14">
        <f>IF(VLOOKUP(入力シート!E24,リストボックス!$I$1:$J$5,2,0)&gt;0,1,0)</f>
        <v>0</v>
      </c>
      <c r="C14">
        <f>IF(VLOOKUP(入力シート!F24,リストボックス!$I$1:$J$5,2,0)&gt;0,1,0)</f>
        <v>0</v>
      </c>
      <c r="D14">
        <f>IF(VLOOKUP(入力シート!G24,リストボックス!$I$1:$J$5,2,0)&gt;0,1,0)</f>
        <v>0</v>
      </c>
    </row>
    <row r="15" spans="1:5" x14ac:dyDescent="0.15">
      <c r="A15" t="s">
        <v>23</v>
      </c>
      <c r="B15">
        <f>SUM(B14,入力シート!E25:E28)</f>
        <v>0</v>
      </c>
      <c r="C15">
        <f>SUM(C14,入力シート!F25:F28)</f>
        <v>0</v>
      </c>
      <c r="D15">
        <f>SUM(D14,入力シート!G25:G28)</f>
        <v>0</v>
      </c>
    </row>
    <row r="16" spans="1:5" x14ac:dyDescent="0.15">
      <c r="A16" t="s">
        <v>24</v>
      </c>
      <c r="B16">
        <f>350000*(1+B15)+IF(B15&gt;0,320000,0)+IF(B27=1,100000,0)</f>
        <v>450000</v>
      </c>
      <c r="C16">
        <f>350000*(1+C15)+IF(C15&gt;0,320000,0)+IF(B27=1,100000,0)</f>
        <v>450000</v>
      </c>
      <c r="D16">
        <f>350000*(1+D15)+IF(D15&gt;0,320000,0)+IF(B27=1,100000,0)</f>
        <v>450000</v>
      </c>
    </row>
    <row r="17" spans="1:5" x14ac:dyDescent="0.15">
      <c r="A17" t="s">
        <v>25</v>
      </c>
      <c r="B17">
        <f>VLOOKUP(入力シート!E19,リストボックス!$K$1:$L$5,2,0)</f>
        <v>0</v>
      </c>
      <c r="C17">
        <f>VLOOKUP(入力シート!F19,リストボックス!$K$1:$L$5,2,0)</f>
        <v>0</v>
      </c>
      <c r="D17">
        <f>VLOOKUP(入力シート!G19,リストボックス!$K$1:$L$5,2,0)</f>
        <v>0</v>
      </c>
    </row>
    <row r="18" spans="1:5" x14ac:dyDescent="0.15">
      <c r="A18" t="s">
        <v>26</v>
      </c>
      <c r="B18">
        <f>VLOOKUP(入力シート!E20,リストボックス!$M$1:$N$6,2,0)</f>
        <v>0</v>
      </c>
      <c r="C18">
        <f>VLOOKUP(入力シート!F20,リストボックス!$M$1:$N$6,2,0)</f>
        <v>0</v>
      </c>
      <c r="D18">
        <f>VLOOKUP(入力シート!G20,リストボックス!$M$1:$N$6,2,0)</f>
        <v>0</v>
      </c>
    </row>
    <row r="19" spans="1:5" x14ac:dyDescent="0.15">
      <c r="A19" t="s">
        <v>27</v>
      </c>
      <c r="B19" s="56">
        <f>IF(YEAR(B8)&gt;2022,IF(B9&lt;18,1,0),IF(B9&lt;20,1,0))</f>
        <v>0</v>
      </c>
      <c r="C19" s="56">
        <f>IF(YEAR(B8)&gt;2022,IF(C9&lt;18,1,0),IF(C9&lt;20,1,0))</f>
        <v>0</v>
      </c>
      <c r="D19" s="56">
        <f>IF(YEAR(B8)&gt;2022,IF(D9&lt;18,1,0),IF(D9&lt;20,1,0))</f>
        <v>0</v>
      </c>
    </row>
    <row r="20" spans="1:5" x14ac:dyDescent="0.15">
      <c r="A20" t="s">
        <v>28</v>
      </c>
      <c r="B20">
        <f>IF(SUM(B17:B19)&gt;0,1250000+IF(B27=1,100000,0),0)</f>
        <v>0</v>
      </c>
      <c r="C20">
        <f>IF(SUM(C17:C19)&gt;0,1250000+IF(B27=1,100000,0),0)</f>
        <v>0</v>
      </c>
      <c r="D20">
        <f>IF(SUM(D17:D19)&gt;0,1250000+IF(B27=1,100000,0),0)</f>
        <v>0</v>
      </c>
    </row>
    <row r="21" spans="1:5" x14ac:dyDescent="0.15">
      <c r="A21" t="s">
        <v>29</v>
      </c>
      <c r="B21">
        <f>入力シート!E29</f>
        <v>0</v>
      </c>
      <c r="C21">
        <f>入力シート!F29</f>
        <v>0</v>
      </c>
      <c r="D21">
        <f>入力シート!G29</f>
        <v>0</v>
      </c>
    </row>
    <row r="22" spans="1:5" x14ac:dyDescent="0.15">
      <c r="A22" t="s">
        <v>110</v>
      </c>
      <c r="B22" s="56">
        <f>SUM(入力シート!E30)*IF(B11=1,3/4,1)</f>
        <v>0</v>
      </c>
      <c r="C22" s="56">
        <f>SUM(入力シート!F30)*IF(C11=1,3/4,1)</f>
        <v>0</v>
      </c>
      <c r="D22" s="56">
        <f>SUM(入力シート!G30)*IF(D11=1,3/4,1)</f>
        <v>0</v>
      </c>
    </row>
    <row r="23" spans="1:5" x14ac:dyDescent="0.15">
      <c r="A23" s="46" t="s">
        <v>139</v>
      </c>
      <c r="B23" s="46">
        <f>SUM(入力シート!E31)*IF(B11=1,3/4,1)</f>
        <v>0</v>
      </c>
      <c r="C23" s="46">
        <f>SUM(入力シート!F31)*IF(C11=1,3/4,1)</f>
        <v>0</v>
      </c>
      <c r="D23" s="46">
        <f>SUM(入力シート!G31)*IF(D11=1,3/4,1)</f>
        <v>0</v>
      </c>
    </row>
    <row r="24" spans="1:5" x14ac:dyDescent="0.15">
      <c r="A24" t="s">
        <v>33</v>
      </c>
      <c r="B24">
        <f>IF(OR(B10=1,B12&lt;=B20,B13&lt;=B16),1,0)</f>
        <v>1</v>
      </c>
      <c r="C24">
        <f>IF(OR(C10=1,C12&lt;=C20,C13&lt;=C16),1,0)</f>
        <v>1</v>
      </c>
      <c r="D24">
        <f>IF(OR(D10=1,D12&lt;=D20,D13&lt;=D16),1,0)</f>
        <v>1</v>
      </c>
    </row>
    <row r="25" spans="1:5" x14ac:dyDescent="0.15">
      <c r="A25" s="46" t="s">
        <v>141</v>
      </c>
      <c r="B25" s="85">
        <f>MAX(0,IF(B2=3,0,IF(B24=1,0,ROUNDDOWN(B21*0.06-B22-B23,-2))))</f>
        <v>0</v>
      </c>
      <c r="C25" s="85">
        <f>MAX(0,IF(B2=1,IF(C24=1,0,ROUNDDOWN(C21*0.06-C22-C23,-2)),0))</f>
        <v>0</v>
      </c>
      <c r="D25" s="85">
        <f>MAX(0,IF(D24=1,0,ROUNDDOWN(D21*0.06-D22-D23,-2)))</f>
        <v>0</v>
      </c>
      <c r="E25" t="s">
        <v>152</v>
      </c>
    </row>
    <row r="26" spans="1:5" x14ac:dyDescent="0.15">
      <c r="A26" t="s">
        <v>140</v>
      </c>
      <c r="B26" s="45">
        <f>MAX(0,IF(B2=3,0,IF(B24=1,0,ROUNDDOWN(B21*0.06-B22,-2))))</f>
        <v>0</v>
      </c>
      <c r="C26" s="45">
        <f>MAX(0,IF(B2=1,IF(C24=1,0,ROUNDDOWN(C21*0.06-C22,-2)),0))</f>
        <v>0</v>
      </c>
      <c r="D26">
        <f>MAX(0,IF(D24=1,0,ROUNDDOWN(D21*0.06-D22,-2)))</f>
        <v>0</v>
      </c>
    </row>
    <row r="27" spans="1:5" x14ac:dyDescent="0.15">
      <c r="A27" t="s">
        <v>95</v>
      </c>
      <c r="B27">
        <f>IF(入力シート!E8&lt;2021,0,IF(AND(入力シート!E8=2021,B3=3),0,1))</f>
        <v>1</v>
      </c>
      <c r="E27" t="s">
        <v>96</v>
      </c>
    </row>
    <row r="28" spans="1:5" x14ac:dyDescent="0.15">
      <c r="A28" t="s">
        <v>100</v>
      </c>
      <c r="B28" s="45">
        <f>IF(YEAR(B8)&gt;2021,1,0)</f>
        <v>1</v>
      </c>
      <c r="E28" t="s">
        <v>105</v>
      </c>
    </row>
    <row r="29" spans="1:5" x14ac:dyDescent="0.15">
      <c r="A29" t="s">
        <v>104</v>
      </c>
      <c r="B29">
        <f>DATEDIF(入力シート!G21,$B$8-1,"y")</f>
        <v>123</v>
      </c>
    </row>
    <row r="30" spans="1:5" x14ac:dyDescent="0.15">
      <c r="A30" t="s">
        <v>103</v>
      </c>
      <c r="B30" s="43">
        <f>IFERROR(VALUE(TEXT(MONTH(入力シート!G21),"00")&amp;TEXT(DAY(入力シート!G21),"00")),1000)</f>
        <v>100</v>
      </c>
    </row>
    <row r="31" spans="1:5" x14ac:dyDescent="0.15">
      <c r="A31" s="45" t="s">
        <v>102</v>
      </c>
      <c r="B31" s="45">
        <f>IFERROR(IF(AND(B28=1,B29=18,B30&gt;101,B30&lt;=401),1,0),0)</f>
        <v>0</v>
      </c>
      <c r="C31" s="45"/>
    </row>
    <row r="32" spans="1:5" x14ac:dyDescent="0.15">
      <c r="A32" s="45" t="s">
        <v>101</v>
      </c>
      <c r="B32" s="45">
        <f>IF(AND($B$31=1,SUM(入力シート!E25)&gt;0,IF(SUM(入力シート!F25)&gt;0,IF(B26&gt;=C26,1,0),1)&gt;0),7200,0)</f>
        <v>0</v>
      </c>
      <c r="C32" s="45">
        <f>IF(AND($B$31=1,SUM(入力シート!F25)&gt;0,IF(SUM(入力シート!E25)&gt;0,IF(B26&lt;C26,1,0),1)&gt;0),7200,0)</f>
        <v>0</v>
      </c>
    </row>
    <row r="33" spans="1:5" x14ac:dyDescent="0.15">
      <c r="A33" s="45" t="s">
        <v>142</v>
      </c>
      <c r="B33" s="45">
        <f>IFERROR(MAX(0,B26-B32),B26)</f>
        <v>0</v>
      </c>
      <c r="C33" s="45">
        <f>IFERROR(MAX(0,C26-C32),C26)</f>
        <v>0</v>
      </c>
    </row>
    <row r="34" spans="1:5" x14ac:dyDescent="0.15">
      <c r="A34" s="83" t="s">
        <v>143</v>
      </c>
      <c r="B34" s="84">
        <f>IFERROR(MAX(0,B25-B32),B25)</f>
        <v>0</v>
      </c>
      <c r="C34" s="84">
        <f>IFERROR(MAX(0,C25-C32),C25)</f>
        <v>0</v>
      </c>
    </row>
    <row r="35" spans="1:5" x14ac:dyDescent="0.15">
      <c r="A35" s="68" t="s">
        <v>149</v>
      </c>
      <c r="B35" s="67">
        <f>MIN(入力シート!E12,SUM(入力シート!E25:F28))</f>
        <v>0</v>
      </c>
    </row>
    <row r="36" spans="1:5" x14ac:dyDescent="0.15">
      <c r="A36" s="68" t="s">
        <v>111</v>
      </c>
      <c r="B36" s="67">
        <f>IF(AND(B2&gt;1,OR(AND(B2=2,B6&gt;0),SUM(B18:D18)&gt;0)),40000,0)</f>
        <v>0</v>
      </c>
    </row>
    <row r="37" spans="1:5" x14ac:dyDescent="0.15">
      <c r="A37" s="69" t="s">
        <v>112</v>
      </c>
      <c r="B37" s="67">
        <f>MAX((B35-2)*40000,0)</f>
        <v>0</v>
      </c>
    </row>
    <row r="38" spans="1:5" x14ac:dyDescent="0.15">
      <c r="A38" s="69" t="s">
        <v>114</v>
      </c>
      <c r="B38" s="69">
        <f>IF(AND(B3&gt;1,VLOOKUP(入力シート!G8,リストボックス!AB2:AC3,2,0)=2,VLOOKUP(入力シート!G9,リストボックス!U2:V5,2,0)=2),22000,0)</f>
        <v>0</v>
      </c>
    </row>
    <row r="39" spans="1:5" x14ac:dyDescent="0.15">
      <c r="A39" s="69" t="s">
        <v>113</v>
      </c>
      <c r="B39" s="67">
        <f>IF(B2&lt;3,MAX(SUM(B33:C33)-SUM(B36:B38),0),MAX(D26-SUM(B36:B38),0))</f>
        <v>0</v>
      </c>
    </row>
    <row r="40" spans="1:5" x14ac:dyDescent="0.15">
      <c r="A40" s="69" t="s">
        <v>123</v>
      </c>
      <c r="B40" s="67">
        <f>IF(B39&lt;=189400,1,0)</f>
        <v>1</v>
      </c>
    </row>
    <row r="41" spans="1:5" x14ac:dyDescent="0.15">
      <c r="A41" s="69" t="s">
        <v>124</v>
      </c>
      <c r="B41" s="67">
        <f>IF(B39&lt;=381500,1,0)</f>
        <v>1</v>
      </c>
    </row>
    <row r="42" spans="1:5" x14ac:dyDescent="0.15">
      <c r="A42" s="69" t="s">
        <v>125</v>
      </c>
      <c r="B42" s="67">
        <f>IF(B39&lt;=164600,1,0)</f>
        <v>1</v>
      </c>
    </row>
    <row r="43" spans="1:5" x14ac:dyDescent="0.15">
      <c r="A43" s="69" t="s">
        <v>148</v>
      </c>
      <c r="B43" s="67" t="str">
        <f>IFERROR(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f>
        <v/>
      </c>
      <c r="E43" t="s">
        <v>159</v>
      </c>
    </row>
    <row r="44" spans="1:5" x14ac:dyDescent="0.15">
      <c r="A44" t="s">
        <v>8</v>
      </c>
      <c r="B44" s="45" t="str">
        <f>IF(AND(B3=2,入力シート!E8&gt;=2020),"エラー",IF(入力シート!E8=0,"年度が入力されていません",IF(SUM(B34:C34,D25)&lt;100,"第Ⅰ区分",IF(SUM(B34:C34,D25)&lt;25600,"第Ⅱ区分",IF(SUM(B34:C34,D25)&lt;51300,"第Ⅲ区分",IF(SUM(B34:C34,D25)&lt;154500,"第Ⅳ区分","対象外"))))))</f>
        <v>第Ⅰ区分</v>
      </c>
    </row>
    <row r="45" spans="1:5" x14ac:dyDescent="0.15">
      <c r="A45" s="84" t="s">
        <v>150</v>
      </c>
      <c r="B45" s="85" t="str">
        <f>IF(B44="第Ⅳ区分",IF(AND(B35&gt;2,VLOOKUP(入力シート!G12,リストボックス!Z2:AA3,2,0)=1),"（多子世帯）",IF(B3=1,"（理工農系進学の場合）",IF(AND(VLOOKUP(入力シート!G13,リストボックス!W2:X3,2,0)=2,VLOOKUP(入力シート!G8,リストボックス!AB2:AC3,2,0)=2),"（理工農系）","（支援対象外）"))),"")</f>
        <v/>
      </c>
    </row>
    <row r="46" spans="1:5" x14ac:dyDescent="0.15">
      <c r="A46" s="69"/>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4" sqref="B4"/>
    </sheetView>
  </sheetViews>
  <sheetFormatPr defaultRowHeight="13.5" x14ac:dyDescent="0.15"/>
  <cols>
    <col min="1" max="1" width="10.5" bestFit="1" customWidth="1"/>
  </cols>
  <sheetData>
    <row r="1" spans="1:2" x14ac:dyDescent="0.15">
      <c r="A1" s="1">
        <v>45005</v>
      </c>
      <c r="B1" t="s">
        <v>98</v>
      </c>
    </row>
    <row r="2" spans="1:2" x14ac:dyDescent="0.15">
      <c r="A2" s="1">
        <v>45363</v>
      </c>
      <c r="B2" t="s">
        <v>138</v>
      </c>
    </row>
    <row r="3" spans="1:2" x14ac:dyDescent="0.15">
      <c r="A3" s="1">
        <v>45383</v>
      </c>
      <c r="B3" t="s">
        <v>186</v>
      </c>
    </row>
    <row r="4" spans="1:2" x14ac:dyDescent="0.15">
      <c r="A4" s="1"/>
    </row>
    <row r="5" spans="1:2" x14ac:dyDescent="0.15">
      <c r="A5" s="1"/>
    </row>
    <row r="6" spans="1:2" x14ac:dyDescent="0.15">
      <c r="A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支給額算定基準額判定ツール</dc:title>
  <dc:creator>JASSO</dc:creator>
  <cp:lastModifiedBy>HTC175</cp:lastModifiedBy>
  <cp:lastPrinted>2024-03-22T05:10:20Z</cp:lastPrinted>
  <dcterms:created xsi:type="dcterms:W3CDTF">2006-09-16T00:00:00Z</dcterms:created>
  <dcterms:modified xsi:type="dcterms:W3CDTF">2024-06-21T06:21:55Z</dcterms:modified>
</cp:coreProperties>
</file>